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0.14\小郡市\12_経営政策部\1203_財政課\120300_財政課共通\★0121電力\公告用\04入札書・入札内訳書\"/>
    </mc:Choice>
  </mc:AlternateContent>
  <bookViews>
    <workbookView xWindow="-30" yWindow="-30" windowWidth="9855" windowHeight="8730" tabRatio="903" firstSheet="2" activeTab="2"/>
  </bookViews>
  <sheets>
    <sheet name="(九電)予定金額 (最終)" sheetId="23" state="hidden" r:id="rId1"/>
    <sheet name="別紙6-2" sheetId="10" state="hidden" r:id="rId2"/>
    <sheet name="別紙4-1" sheetId="29" r:id="rId3"/>
  </sheets>
  <externalReferences>
    <externalReference r:id="rId4"/>
    <externalReference r:id="rId5"/>
    <externalReference r:id="rId6"/>
  </externalReferences>
  <definedNames>
    <definedName name="_xlnm.Print_Area" localSheetId="0">'(九電)予定金額 (最終)'!$A$1:$W$763</definedName>
    <definedName name="_xlnm.Print_Area" localSheetId="2">'別紙4-1'!$A$1:$L$86</definedName>
    <definedName name="_xlnm.Print_Area" localSheetId="1">'別紙6-2'!$A$1:$L$75</definedName>
    <definedName name="_xlnm.Print_Titles" localSheetId="0">'(九電)予定金額 (最終)'!$1:$1</definedName>
    <definedName name="使用電力調整率" localSheetId="0">'[1]（九州電力）２７年１０月～２８年９月度予想金額'!#REF!</definedName>
    <definedName name="使用電力調整率" localSheetId="2">'[1]（九州電力）２７年１０月～２８年９月度予想金額'!#REF!</definedName>
    <definedName name="使用電力調整率" localSheetId="1">'[1]（九州電力）２７年１０月～２８年９月度予想金額'!#REF!</definedName>
    <definedName name="使用電力調整率">'[2]（九州電力）２７年１０月～２８年９月度予想金額'!#REF!</definedName>
    <definedName name="試算" localSheetId="2">'[2]（九州電力）２７年１０月～２８年９月度予想金額'!#REF!</definedName>
    <definedName name="試算">'[2]（九州電力）２７年１０月～２８年９月度予想金額'!#REF!</definedName>
    <definedName name="予定価格試算" localSheetId="2">'[2]（九州電力）２７年１０月～２８年９月度予想金額'!#REF!</definedName>
    <definedName name="予定価格試算">'[2]（九州電力）２７年１０月～２８年９月度予想金額'!#REF!</definedName>
    <definedName name="予定価格試算2" localSheetId="2">'[2]（九州電力）２７年１０月～２８年９月度予想金額'!#REF!</definedName>
    <definedName name="予定価格試算2">'[2]（九州電力）２７年１０月～２８年９月度予想金額'!#REF!</definedName>
  </definedNames>
  <calcPr calcId="162913"/>
</workbook>
</file>

<file path=xl/calcChain.xml><?xml version="1.0" encoding="utf-8"?>
<calcChain xmlns="http://schemas.openxmlformats.org/spreadsheetml/2006/main">
  <c r="M74" i="29" l="1"/>
  <c r="M72" i="29"/>
  <c r="M70" i="29"/>
  <c r="M68" i="29"/>
  <c r="M66" i="29"/>
  <c r="M64" i="29"/>
  <c r="M62" i="29"/>
  <c r="M60" i="29"/>
  <c r="M58" i="29"/>
  <c r="M56" i="29"/>
  <c r="M54" i="29"/>
  <c r="M50" i="29"/>
  <c r="M46" i="29"/>
  <c r="M44" i="29"/>
  <c r="M42" i="29"/>
  <c r="M40" i="29"/>
  <c r="M38" i="29"/>
  <c r="M36" i="29"/>
  <c r="M34" i="29"/>
  <c r="M32" i="29"/>
  <c r="M30" i="29"/>
  <c r="M28" i="29"/>
  <c r="M26" i="29"/>
  <c r="M24" i="29"/>
  <c r="M22" i="29"/>
  <c r="M20" i="29"/>
  <c r="M14" i="29"/>
  <c r="M16" i="29"/>
  <c r="M18" i="29"/>
  <c r="M12" i="29"/>
  <c r="C78" i="29" l="1"/>
  <c r="M10" i="29" l="1"/>
  <c r="J35" i="29"/>
  <c r="G35" i="29"/>
  <c r="J34" i="29"/>
  <c r="G34" i="29"/>
  <c r="F34" i="29"/>
  <c r="K34" i="29" l="1"/>
  <c r="J77" i="29" l="1"/>
  <c r="J76" i="29"/>
  <c r="B76" i="29"/>
  <c r="J75" i="29"/>
  <c r="J74" i="29"/>
  <c r="F74" i="29"/>
  <c r="B74" i="29"/>
  <c r="J73" i="29"/>
  <c r="G73" i="29"/>
  <c r="J72" i="29"/>
  <c r="G72" i="29"/>
  <c r="F72" i="29"/>
  <c r="B72" i="29"/>
  <c r="J71" i="29"/>
  <c r="G71" i="29"/>
  <c r="J70" i="29"/>
  <c r="G70" i="29"/>
  <c r="F70" i="29"/>
  <c r="B70" i="29"/>
  <c r="J69" i="29"/>
  <c r="G69" i="29"/>
  <c r="J68" i="29"/>
  <c r="G68" i="29"/>
  <c r="F68" i="29"/>
  <c r="B68" i="29"/>
  <c r="J67" i="29"/>
  <c r="G67" i="29"/>
  <c r="J66" i="29"/>
  <c r="G66" i="29"/>
  <c r="F66" i="29"/>
  <c r="B66" i="29"/>
  <c r="J65" i="29"/>
  <c r="G65" i="29"/>
  <c r="J64" i="29"/>
  <c r="G64" i="29"/>
  <c r="F64" i="29"/>
  <c r="B64" i="29"/>
  <c r="J63" i="29"/>
  <c r="G63" i="29"/>
  <c r="J62" i="29"/>
  <c r="G62" i="29"/>
  <c r="F62" i="29"/>
  <c r="B62" i="29"/>
  <c r="J61" i="29"/>
  <c r="G61" i="29"/>
  <c r="J60" i="29"/>
  <c r="G60" i="29"/>
  <c r="F60" i="29"/>
  <c r="B60" i="29"/>
  <c r="J59" i="29"/>
  <c r="G59" i="29"/>
  <c r="J58" i="29"/>
  <c r="G58" i="29"/>
  <c r="F58" i="29"/>
  <c r="B58" i="29"/>
  <c r="J57" i="29"/>
  <c r="G57" i="29"/>
  <c r="J56" i="29"/>
  <c r="G56" i="29"/>
  <c r="F56" i="29"/>
  <c r="B56" i="29"/>
  <c r="J55" i="29"/>
  <c r="G55" i="29"/>
  <c r="J54" i="29"/>
  <c r="G54" i="29"/>
  <c r="F54" i="29"/>
  <c r="B54" i="29"/>
  <c r="J53" i="29"/>
  <c r="G53" i="29"/>
  <c r="J52" i="29"/>
  <c r="G52" i="29"/>
  <c r="B52" i="29"/>
  <c r="J51" i="29"/>
  <c r="G51" i="29"/>
  <c r="J50" i="29"/>
  <c r="G50" i="29"/>
  <c r="F50" i="29"/>
  <c r="B50" i="29"/>
  <c r="J49" i="29"/>
  <c r="G49" i="29"/>
  <c r="J48" i="29"/>
  <c r="G48" i="29"/>
  <c r="B48" i="29"/>
  <c r="J47" i="29"/>
  <c r="G47" i="29"/>
  <c r="J46" i="29"/>
  <c r="G46" i="29"/>
  <c r="F46" i="29"/>
  <c r="B46" i="29"/>
  <c r="J45" i="29"/>
  <c r="G45" i="29"/>
  <c r="J44" i="29"/>
  <c r="G44" i="29"/>
  <c r="F44" i="29"/>
  <c r="B44" i="29"/>
  <c r="J43" i="29"/>
  <c r="G43" i="29"/>
  <c r="J42" i="29"/>
  <c r="G42" i="29"/>
  <c r="F42" i="29"/>
  <c r="B42" i="29"/>
  <c r="J41" i="29"/>
  <c r="G41" i="29"/>
  <c r="J40" i="29"/>
  <c r="G40" i="29"/>
  <c r="F40" i="29"/>
  <c r="B40" i="29"/>
  <c r="J39" i="29"/>
  <c r="G39" i="29"/>
  <c r="J38" i="29"/>
  <c r="G38" i="29"/>
  <c r="F38" i="29"/>
  <c r="B38" i="29"/>
  <c r="J37" i="29"/>
  <c r="G37" i="29"/>
  <c r="J36" i="29"/>
  <c r="G36" i="29"/>
  <c r="F36" i="29"/>
  <c r="B36" i="29"/>
  <c r="J33" i="29"/>
  <c r="G33" i="29"/>
  <c r="J32" i="29"/>
  <c r="G32" i="29"/>
  <c r="F32" i="29"/>
  <c r="J31" i="29"/>
  <c r="G31" i="29"/>
  <c r="J30" i="29"/>
  <c r="G30" i="29"/>
  <c r="F30" i="29"/>
  <c r="B30" i="29"/>
  <c r="J29" i="29"/>
  <c r="G29" i="29"/>
  <c r="J28" i="29"/>
  <c r="G28" i="29"/>
  <c r="F28" i="29"/>
  <c r="B28" i="29"/>
  <c r="J27" i="29"/>
  <c r="G27" i="29"/>
  <c r="J26" i="29"/>
  <c r="G26" i="29"/>
  <c r="F26" i="29"/>
  <c r="B26" i="29"/>
  <c r="J25" i="29"/>
  <c r="G25" i="29"/>
  <c r="J24" i="29"/>
  <c r="G24" i="29"/>
  <c r="F24" i="29"/>
  <c r="B24" i="29"/>
  <c r="J23" i="29"/>
  <c r="G23" i="29"/>
  <c r="J22" i="29"/>
  <c r="G22" i="29"/>
  <c r="F22" i="29"/>
  <c r="B22" i="29"/>
  <c r="J21" i="29"/>
  <c r="G21" i="29"/>
  <c r="J20" i="29"/>
  <c r="G20" i="29"/>
  <c r="F20" i="29"/>
  <c r="B20" i="29"/>
  <c r="J19" i="29"/>
  <c r="G19" i="29"/>
  <c r="J18" i="29"/>
  <c r="G18" i="29"/>
  <c r="F18" i="29"/>
  <c r="B18" i="29"/>
  <c r="J17" i="29"/>
  <c r="G17" i="29"/>
  <c r="J16" i="29"/>
  <c r="G16" i="29"/>
  <c r="F16" i="29"/>
  <c r="B16" i="29"/>
  <c r="J15" i="29"/>
  <c r="G15" i="29"/>
  <c r="J14" i="29"/>
  <c r="G14" i="29"/>
  <c r="F14" i="29"/>
  <c r="B14" i="29"/>
  <c r="J13" i="29"/>
  <c r="G13" i="29"/>
  <c r="J12" i="29"/>
  <c r="G12" i="29"/>
  <c r="F12" i="29"/>
  <c r="B12" i="29"/>
  <c r="A12" i="29"/>
  <c r="A14" i="29" s="1"/>
  <c r="A16" i="29" s="1"/>
  <c r="A18" i="29" s="1"/>
  <c r="A20" i="29" s="1"/>
  <c r="A22" i="29" s="1"/>
  <c r="A24" i="29" s="1"/>
  <c r="A26" i="29" s="1"/>
  <c r="A28" i="29" s="1"/>
  <c r="A30" i="29" s="1"/>
  <c r="A32" i="29" s="1"/>
  <c r="A42" i="29" s="1"/>
  <c r="A44" i="29" s="1"/>
  <c r="A46" i="29" s="1"/>
  <c r="A50" i="29" s="1"/>
  <c r="A54" i="29" s="1"/>
  <c r="A56" i="29" s="1"/>
  <c r="A58" i="29" s="1"/>
  <c r="A60" i="29" s="1"/>
  <c r="A62" i="29" s="1"/>
  <c r="A64" i="29" s="1"/>
  <c r="A66" i="29" s="1"/>
  <c r="A68" i="29" s="1"/>
  <c r="A72" i="29" s="1"/>
  <c r="J11" i="29"/>
  <c r="G11" i="29"/>
  <c r="J10" i="29"/>
  <c r="G10" i="29"/>
  <c r="B10" i="29"/>
  <c r="K46" i="29" l="1"/>
  <c r="K12" i="29"/>
  <c r="K14" i="29"/>
  <c r="K28" i="29"/>
  <c r="K62" i="29"/>
  <c r="K20" i="29"/>
  <c r="K18" i="29"/>
  <c r="K54" i="29"/>
  <c r="K60" i="29"/>
  <c r="K68" i="29"/>
  <c r="K74" i="29"/>
  <c r="H78" i="29"/>
  <c r="K26" i="29"/>
  <c r="K30" i="29"/>
  <c r="K38" i="29"/>
  <c r="K36" i="29"/>
  <c r="K44" i="29"/>
  <c r="K64" i="29"/>
  <c r="K70" i="29"/>
  <c r="J78" i="29"/>
  <c r="K58" i="29"/>
  <c r="K24" i="29"/>
  <c r="K42" i="29"/>
  <c r="K50" i="29"/>
  <c r="F10" i="29"/>
  <c r="K56" i="29"/>
  <c r="K66" i="29"/>
  <c r="K72" i="29"/>
  <c r="K16" i="29"/>
  <c r="K22" i="29"/>
  <c r="K32" i="29"/>
  <c r="K40" i="29"/>
  <c r="F78" i="29" l="1"/>
  <c r="K10" i="29"/>
  <c r="K78" i="29" s="1"/>
  <c r="K80" i="29" s="1"/>
  <c r="K82" i="29" s="1"/>
  <c r="I69" i="10" l="1"/>
  <c r="I68" i="10"/>
  <c r="I67" i="10"/>
  <c r="I66" i="10"/>
  <c r="H69" i="10"/>
  <c r="J69" i="10" s="1"/>
  <c r="H68" i="10"/>
  <c r="J68" i="10" s="1"/>
  <c r="H67" i="10"/>
  <c r="J67" i="10" s="1"/>
  <c r="H66" i="10"/>
  <c r="D66" i="10"/>
  <c r="R67" i="10"/>
  <c r="S67" i="10" s="1"/>
  <c r="R66" i="10"/>
  <c r="S66" i="10" s="1"/>
  <c r="V735" i="23"/>
  <c r="Q735" i="23"/>
  <c r="V736" i="23"/>
  <c r="U737" i="23"/>
  <c r="V737" i="23"/>
  <c r="N737" i="23"/>
  <c r="N739" i="23" s="1"/>
  <c r="O737" i="23"/>
  <c r="P737" i="23"/>
  <c r="U738" i="23"/>
  <c r="U739" i="23"/>
  <c r="V739" i="23" s="1"/>
  <c r="O739" i="23"/>
  <c r="O741" i="23" s="1"/>
  <c r="O743" i="23" s="1"/>
  <c r="O745" i="23" s="1"/>
  <c r="O747" i="23" s="1"/>
  <c r="O750" i="23" s="1"/>
  <c r="O753" i="23" s="1"/>
  <c r="O756" i="23" s="1"/>
  <c r="O758" i="23" s="1"/>
  <c r="O760" i="23" s="1"/>
  <c r="V747" i="23"/>
  <c r="V748" i="23"/>
  <c r="U750" i="23"/>
  <c r="V750" i="23" s="1"/>
  <c r="U751" i="23"/>
  <c r="U753" i="23"/>
  <c r="V753" i="23" s="1"/>
  <c r="U756" i="23"/>
  <c r="J735" i="23"/>
  <c r="E735" i="23"/>
  <c r="J736" i="23"/>
  <c r="I737" i="23"/>
  <c r="B737" i="23"/>
  <c r="C737" i="23"/>
  <c r="C739" i="23" s="1"/>
  <c r="C741" i="23" s="1"/>
  <c r="C743" i="23" s="1"/>
  <c r="D737" i="23"/>
  <c r="D739" i="23" s="1"/>
  <c r="D741" i="23" s="1"/>
  <c r="D743" i="23" s="1"/>
  <c r="D745" i="23" s="1"/>
  <c r="D747" i="23" s="1"/>
  <c r="D750" i="23" s="1"/>
  <c r="D753" i="23" s="1"/>
  <c r="D756" i="23" s="1"/>
  <c r="D758" i="23" s="1"/>
  <c r="D760" i="23" s="1"/>
  <c r="I738" i="23"/>
  <c r="J747" i="23"/>
  <c r="J748" i="23"/>
  <c r="I750" i="23"/>
  <c r="I751" i="23"/>
  <c r="I756" i="23"/>
  <c r="AH735" i="23"/>
  <c r="AI735" i="23" s="1"/>
  <c r="AC735" i="23"/>
  <c r="AH736" i="23"/>
  <c r="AG737" i="23"/>
  <c r="AG739" i="23" s="1"/>
  <c r="AH737" i="23"/>
  <c r="Z737" i="23"/>
  <c r="AA737" i="23"/>
  <c r="AA739" i="23" s="1"/>
  <c r="AA741" i="23" s="1"/>
  <c r="AA743" i="23" s="1"/>
  <c r="AB737" i="23"/>
  <c r="AB739" i="23" s="1"/>
  <c r="AB741" i="23" s="1"/>
  <c r="AB743" i="23" s="1"/>
  <c r="AG738" i="23"/>
  <c r="Z739" i="23"/>
  <c r="Z741" i="23" s="1"/>
  <c r="AA745" i="23"/>
  <c r="AA747" i="23" s="1"/>
  <c r="AA750" i="23" s="1"/>
  <c r="AA753" i="23" s="1"/>
  <c r="AA756" i="23" s="1"/>
  <c r="AA758" i="23" s="1"/>
  <c r="AA760" i="23" s="1"/>
  <c r="AB745" i="23"/>
  <c r="AB747" i="23" s="1"/>
  <c r="AB750" i="23" s="1"/>
  <c r="AB753" i="23" s="1"/>
  <c r="AB756" i="23" s="1"/>
  <c r="AB758" i="23" s="1"/>
  <c r="AB760" i="23" s="1"/>
  <c r="AH747" i="23"/>
  <c r="AH748" i="23"/>
  <c r="AG750" i="23"/>
  <c r="AG751" i="23"/>
  <c r="AH751" i="23" s="1"/>
  <c r="AG756" i="23"/>
  <c r="AF735" i="23"/>
  <c r="AF737" i="23"/>
  <c r="AF739" i="23"/>
  <c r="AF741" i="23"/>
  <c r="AF743" i="23"/>
  <c r="AF745" i="23"/>
  <c r="AF747" i="23"/>
  <c r="AF750" i="23"/>
  <c r="AF753" i="23"/>
  <c r="AF756" i="23"/>
  <c r="AF758" i="23"/>
  <c r="AF760" i="23"/>
  <c r="AE762" i="23"/>
  <c r="T735" i="23"/>
  <c r="T737" i="23"/>
  <c r="T739" i="23"/>
  <c r="T741" i="23"/>
  <c r="T743" i="23"/>
  <c r="T745" i="23"/>
  <c r="T747" i="23"/>
  <c r="T750" i="23"/>
  <c r="T753" i="23"/>
  <c r="T756" i="23"/>
  <c r="T758" i="23"/>
  <c r="T760" i="23"/>
  <c r="S762" i="23"/>
  <c r="H735" i="23"/>
  <c r="H737" i="23"/>
  <c r="H739" i="23"/>
  <c r="H741" i="23"/>
  <c r="H743" i="23"/>
  <c r="H745" i="23"/>
  <c r="H747" i="23"/>
  <c r="H750" i="23"/>
  <c r="H753" i="23"/>
  <c r="H756" i="23"/>
  <c r="H758" i="23"/>
  <c r="H760" i="23"/>
  <c r="G762" i="23"/>
  <c r="AD756" i="23"/>
  <c r="AD758" i="23" s="1"/>
  <c r="AD760" i="23" s="1"/>
  <c r="R756" i="23"/>
  <c r="R758" i="23" s="1"/>
  <c r="R760" i="23" s="1"/>
  <c r="F756" i="23"/>
  <c r="F758" i="23"/>
  <c r="F760" i="23" s="1"/>
  <c r="AD750" i="23"/>
  <c r="AD753" i="23" s="1"/>
  <c r="R750" i="23"/>
  <c r="R753" i="23" s="1"/>
  <c r="F750" i="23"/>
  <c r="F753" i="23" s="1"/>
  <c r="AD737" i="23"/>
  <c r="AD739" i="23" s="1"/>
  <c r="AD741" i="23" s="1"/>
  <c r="AD743" i="23" s="1"/>
  <c r="AD745" i="23" s="1"/>
  <c r="R737" i="23"/>
  <c r="R739" i="23" s="1"/>
  <c r="R741" i="23" s="1"/>
  <c r="R743" i="23" s="1"/>
  <c r="R745" i="23" s="1"/>
  <c r="F737" i="23"/>
  <c r="F739" i="23" s="1"/>
  <c r="F741" i="23" s="1"/>
  <c r="F743" i="23" s="1"/>
  <c r="F745" i="23" s="1"/>
  <c r="M728" i="23"/>
  <c r="A728" i="23"/>
  <c r="M727" i="23"/>
  <c r="A727" i="23"/>
  <c r="H11" i="10"/>
  <c r="H12" i="10"/>
  <c r="H13" i="10"/>
  <c r="H15" i="10"/>
  <c r="H17" i="10"/>
  <c r="H18" i="10"/>
  <c r="H19" i="10"/>
  <c r="H21" i="10"/>
  <c r="H22" i="10"/>
  <c r="H23" i="10"/>
  <c r="H25" i="10"/>
  <c r="H27" i="10"/>
  <c r="H28" i="10"/>
  <c r="H29" i="10"/>
  <c r="H31" i="10"/>
  <c r="H33" i="10"/>
  <c r="H35" i="10"/>
  <c r="H37" i="10"/>
  <c r="H38" i="10"/>
  <c r="H39" i="10"/>
  <c r="H49" i="10"/>
  <c r="H51" i="10"/>
  <c r="H53" i="10"/>
  <c r="H55" i="10"/>
  <c r="H57" i="10"/>
  <c r="H59" i="10"/>
  <c r="H61" i="10"/>
  <c r="H63" i="10"/>
  <c r="H65" i="10"/>
  <c r="D10" i="10"/>
  <c r="I10" i="10"/>
  <c r="I11" i="10"/>
  <c r="D12" i="10"/>
  <c r="I12" i="10"/>
  <c r="I13" i="10"/>
  <c r="J13" i="10" s="1"/>
  <c r="D14" i="10"/>
  <c r="I14" i="10"/>
  <c r="I15" i="10"/>
  <c r="D16" i="10"/>
  <c r="I16" i="10"/>
  <c r="I17" i="10"/>
  <c r="D18" i="10"/>
  <c r="I18" i="10"/>
  <c r="I19" i="10"/>
  <c r="D20" i="10"/>
  <c r="C22" i="10"/>
  <c r="D22" i="10"/>
  <c r="I22" i="10"/>
  <c r="I23" i="10"/>
  <c r="D24" i="10"/>
  <c r="I24" i="10"/>
  <c r="N25" i="10" s="1"/>
  <c r="I25" i="10"/>
  <c r="J25" i="10"/>
  <c r="D26" i="10"/>
  <c r="I26" i="10"/>
  <c r="I27" i="10"/>
  <c r="D28" i="10"/>
  <c r="I28" i="10"/>
  <c r="I29" i="10"/>
  <c r="D30" i="10"/>
  <c r="I30" i="10"/>
  <c r="I31" i="10"/>
  <c r="D32" i="10"/>
  <c r="I32" i="10"/>
  <c r="I33" i="10"/>
  <c r="C34" i="10"/>
  <c r="D34" i="10"/>
  <c r="I34" i="10"/>
  <c r="I35" i="10"/>
  <c r="J35" i="10" s="1"/>
  <c r="D36" i="10"/>
  <c r="I36" i="10"/>
  <c r="I37" i="10"/>
  <c r="D38" i="10"/>
  <c r="I38" i="10"/>
  <c r="J38" i="10" s="1"/>
  <c r="I39" i="10"/>
  <c r="D40" i="10"/>
  <c r="I40" i="10"/>
  <c r="I41" i="10"/>
  <c r="I42" i="10"/>
  <c r="I43" i="10"/>
  <c r="D44" i="10"/>
  <c r="C48" i="10"/>
  <c r="D48" i="10"/>
  <c r="I48" i="10"/>
  <c r="I49" i="10"/>
  <c r="J49" i="10" s="1"/>
  <c r="C50" i="10"/>
  <c r="D50" i="10"/>
  <c r="I50" i="10"/>
  <c r="I51" i="10"/>
  <c r="D52" i="10"/>
  <c r="I52" i="10"/>
  <c r="I53" i="10"/>
  <c r="J53" i="10" s="1"/>
  <c r="D54" i="10"/>
  <c r="I54" i="10"/>
  <c r="I55" i="10"/>
  <c r="D56" i="10"/>
  <c r="I56" i="10"/>
  <c r="I57" i="10"/>
  <c r="J57" i="10" s="1"/>
  <c r="D58" i="10"/>
  <c r="I58" i="10"/>
  <c r="I59" i="10"/>
  <c r="J59" i="10"/>
  <c r="D60" i="10"/>
  <c r="I60" i="10"/>
  <c r="I61" i="10"/>
  <c r="D62" i="10"/>
  <c r="I62" i="10"/>
  <c r="I63" i="10"/>
  <c r="D64" i="10"/>
  <c r="I64" i="10"/>
  <c r="I65" i="10"/>
  <c r="J65" i="10" s="1"/>
  <c r="B48" i="10"/>
  <c r="B36" i="10"/>
  <c r="R27" i="10"/>
  <c r="S27" i="10" s="1"/>
  <c r="N27" i="10"/>
  <c r="R26" i="10"/>
  <c r="S26" i="10"/>
  <c r="R23" i="10"/>
  <c r="S23" i="10" s="1"/>
  <c r="R22" i="10"/>
  <c r="S22" i="10" s="1"/>
  <c r="B27" i="23"/>
  <c r="B52" i="23" s="1"/>
  <c r="B77" i="23" s="1"/>
  <c r="B102" i="23" s="1"/>
  <c r="B175" i="23" s="1"/>
  <c r="B200" i="23" s="1"/>
  <c r="J13" i="23"/>
  <c r="E13" i="23"/>
  <c r="I14" i="23"/>
  <c r="I15" i="23" s="1"/>
  <c r="J14" i="23"/>
  <c r="B14" i="23"/>
  <c r="B15" i="23" s="1"/>
  <c r="C14" i="23"/>
  <c r="C15" i="23" s="1"/>
  <c r="D14" i="23"/>
  <c r="D15" i="23" s="1"/>
  <c r="C16" i="23"/>
  <c r="C17" i="23" s="1"/>
  <c r="C18" i="23" s="1"/>
  <c r="C19" i="23" s="1"/>
  <c r="C20" i="23" s="1"/>
  <c r="C21" i="23" s="1"/>
  <c r="C22" i="23" s="1"/>
  <c r="C23" i="23" s="1"/>
  <c r="C24" i="23" s="1"/>
  <c r="D16" i="23"/>
  <c r="D17" i="23" s="1"/>
  <c r="D18" i="23" s="1"/>
  <c r="D19" i="23" s="1"/>
  <c r="D20" i="23" s="1"/>
  <c r="D21" i="23" s="1"/>
  <c r="D22" i="23" s="1"/>
  <c r="D23" i="23" s="1"/>
  <c r="D24" i="23" s="1"/>
  <c r="J19" i="23"/>
  <c r="I20" i="23"/>
  <c r="J20" i="23" s="1"/>
  <c r="G21" i="23"/>
  <c r="I22" i="23"/>
  <c r="V13" i="23"/>
  <c r="Q13" i="23"/>
  <c r="U14" i="23"/>
  <c r="N14" i="23"/>
  <c r="O14" i="23"/>
  <c r="P14" i="23"/>
  <c r="P15" i="23" s="1"/>
  <c r="P16" i="23" s="1"/>
  <c r="P17" i="23" s="1"/>
  <c r="P18" i="23" s="1"/>
  <c r="P19" i="23" s="1"/>
  <c r="P20" i="23" s="1"/>
  <c r="P21" i="23" s="1"/>
  <c r="P22" i="23" s="1"/>
  <c r="P23" i="23" s="1"/>
  <c r="P24" i="23" s="1"/>
  <c r="V19" i="23"/>
  <c r="U20" i="23"/>
  <c r="S21" i="23"/>
  <c r="U22" i="23"/>
  <c r="AC13" i="23"/>
  <c r="AH13" i="23"/>
  <c r="Z14" i="23"/>
  <c r="Z15" i="23" s="1"/>
  <c r="AA14" i="23"/>
  <c r="AA15" i="23"/>
  <c r="AA16" i="23" s="1"/>
  <c r="AA17" i="23" s="1"/>
  <c r="AA18" i="23" s="1"/>
  <c r="AA19" i="23" s="1"/>
  <c r="AA20" i="23" s="1"/>
  <c r="AA21" i="23" s="1"/>
  <c r="AA22" i="23" s="1"/>
  <c r="AA23" i="23" s="1"/>
  <c r="AA24" i="23" s="1"/>
  <c r="AB14" i="23"/>
  <c r="AG14" i="23"/>
  <c r="AH14" i="23" s="1"/>
  <c r="AB15" i="23"/>
  <c r="AB16" i="23" s="1"/>
  <c r="AB17" i="23" s="1"/>
  <c r="AB18" i="23" s="1"/>
  <c r="AB19" i="23" s="1"/>
  <c r="AB20" i="23" s="1"/>
  <c r="AB21" i="23" s="1"/>
  <c r="AB22" i="23" s="1"/>
  <c r="AB23" i="23" s="1"/>
  <c r="AB24" i="23" s="1"/>
  <c r="AG15" i="23"/>
  <c r="AH15" i="23" s="1"/>
  <c r="AH19" i="23"/>
  <c r="AG20" i="23"/>
  <c r="AE21" i="23"/>
  <c r="AE25" i="23" s="1"/>
  <c r="AG22" i="23"/>
  <c r="AH22" i="23" s="1"/>
  <c r="AG23" i="23"/>
  <c r="S25" i="23"/>
  <c r="J38" i="23"/>
  <c r="E38" i="23"/>
  <c r="K38" i="23" s="1"/>
  <c r="I39" i="23"/>
  <c r="B39" i="23"/>
  <c r="C39" i="23"/>
  <c r="D39" i="23"/>
  <c r="D40" i="23" s="1"/>
  <c r="B40" i="23"/>
  <c r="D41" i="23"/>
  <c r="D42" i="23" s="1"/>
  <c r="D43" i="23" s="1"/>
  <c r="D44" i="23" s="1"/>
  <c r="D45" i="23" s="1"/>
  <c r="D46" i="23" s="1"/>
  <c r="D47" i="23" s="1"/>
  <c r="D48" i="23" s="1"/>
  <c r="D49" i="23" s="1"/>
  <c r="J44" i="23"/>
  <c r="I45" i="23"/>
  <c r="I46" i="23" s="1"/>
  <c r="J46" i="23" s="1"/>
  <c r="I47" i="23"/>
  <c r="V38" i="23"/>
  <c r="Q38" i="23"/>
  <c r="U39" i="23"/>
  <c r="N39" i="23"/>
  <c r="N40" i="23" s="1"/>
  <c r="O39" i="23"/>
  <c r="O40" i="23" s="1"/>
  <c r="O41" i="23" s="1"/>
  <c r="O42" i="23" s="1"/>
  <c r="O43" i="23" s="1"/>
  <c r="O44" i="23" s="1"/>
  <c r="O45" i="23" s="1"/>
  <c r="O46" i="23" s="1"/>
  <c r="O47" i="23" s="1"/>
  <c r="O48" i="23" s="1"/>
  <c r="O49" i="23" s="1"/>
  <c r="P39" i="23"/>
  <c r="P40" i="23" s="1"/>
  <c r="P41" i="23"/>
  <c r="P42" i="23" s="1"/>
  <c r="P43" i="23" s="1"/>
  <c r="P44" i="23" s="1"/>
  <c r="P45" i="23" s="1"/>
  <c r="P46" i="23" s="1"/>
  <c r="P47" i="23" s="1"/>
  <c r="P48" i="23" s="1"/>
  <c r="P49" i="23" s="1"/>
  <c r="V44" i="23"/>
  <c r="U45" i="23"/>
  <c r="U47" i="23"/>
  <c r="N27" i="23"/>
  <c r="Z27" i="23"/>
  <c r="Z52" i="23" s="1"/>
  <c r="Z77" i="23" s="1"/>
  <c r="Z102" i="23" s="1"/>
  <c r="Z175" i="23" s="1"/>
  <c r="A30" i="23"/>
  <c r="M30" i="23"/>
  <c r="Y30" i="23"/>
  <c r="A31" i="23"/>
  <c r="M31" i="23"/>
  <c r="Y31" i="23"/>
  <c r="AC38" i="23"/>
  <c r="AH38" i="23"/>
  <c r="Z39" i="23"/>
  <c r="AA39" i="23"/>
  <c r="AB39" i="23"/>
  <c r="AB40" i="23" s="1"/>
  <c r="AB41" i="23" s="1"/>
  <c r="AB42" i="23" s="1"/>
  <c r="AB43" i="23" s="1"/>
  <c r="AB44" i="23" s="1"/>
  <c r="AB45" i="23" s="1"/>
  <c r="AB46" i="23" s="1"/>
  <c r="AB47" i="23" s="1"/>
  <c r="AB48" i="23" s="1"/>
  <c r="AB49" i="23" s="1"/>
  <c r="AG39" i="23"/>
  <c r="AH39" i="23" s="1"/>
  <c r="AA40" i="23"/>
  <c r="AA41" i="23" s="1"/>
  <c r="AA42" i="23"/>
  <c r="AA43" i="23" s="1"/>
  <c r="AA44" i="23" s="1"/>
  <c r="AA45" i="23" s="1"/>
  <c r="AA46" i="23" s="1"/>
  <c r="AA47" i="23" s="1"/>
  <c r="AA48" i="23" s="1"/>
  <c r="AA49" i="23" s="1"/>
  <c r="AH44" i="23"/>
  <c r="AG45" i="23"/>
  <c r="AG47" i="23"/>
  <c r="G50" i="23"/>
  <c r="S50" i="23"/>
  <c r="AE50" i="23"/>
  <c r="J63" i="23"/>
  <c r="K63" i="23" s="1"/>
  <c r="E63" i="23"/>
  <c r="I64" i="23"/>
  <c r="B64" i="23"/>
  <c r="B65" i="23" s="1"/>
  <c r="C64" i="23"/>
  <c r="C65" i="23" s="1"/>
  <c r="D64" i="23"/>
  <c r="D65" i="23"/>
  <c r="D66" i="23" s="1"/>
  <c r="D67" i="23" s="1"/>
  <c r="D68" i="23" s="1"/>
  <c r="D69" i="23" s="1"/>
  <c r="D70" i="23" s="1"/>
  <c r="D71" i="23" s="1"/>
  <c r="D72" i="23" s="1"/>
  <c r="D73" i="23" s="1"/>
  <c r="D74" i="23"/>
  <c r="J69" i="23"/>
  <c r="I70" i="23"/>
  <c r="J70" i="23" s="1"/>
  <c r="G71" i="23"/>
  <c r="I71" i="23"/>
  <c r="I72" i="23"/>
  <c r="I73" i="23" s="1"/>
  <c r="J73" i="23" s="1"/>
  <c r="V63" i="23"/>
  <c r="Q63" i="23"/>
  <c r="U64" i="23"/>
  <c r="N64" i="23"/>
  <c r="O64" i="23"/>
  <c r="O65" i="23" s="1"/>
  <c r="O66" i="23" s="1"/>
  <c r="P64" i="23"/>
  <c r="V69" i="23"/>
  <c r="U70" i="23"/>
  <c r="S71" i="23"/>
  <c r="U72" i="23"/>
  <c r="N52" i="23"/>
  <c r="A55" i="23"/>
  <c r="M55" i="23"/>
  <c r="Y55" i="23"/>
  <c r="A56" i="23"/>
  <c r="M56" i="23"/>
  <c r="Y56" i="23"/>
  <c r="AC63" i="23"/>
  <c r="AH63" i="23"/>
  <c r="Z64" i="23"/>
  <c r="AA64" i="23"/>
  <c r="AA65" i="23" s="1"/>
  <c r="AB64" i="23"/>
  <c r="AB65" i="23" s="1"/>
  <c r="AB66" i="23" s="1"/>
  <c r="AB67" i="23" s="1"/>
  <c r="AB68" i="23" s="1"/>
  <c r="AB69" i="23" s="1"/>
  <c r="AB70" i="23" s="1"/>
  <c r="AB71" i="23" s="1"/>
  <c r="AB72" i="23" s="1"/>
  <c r="AB73" i="23" s="1"/>
  <c r="AB74" i="23" s="1"/>
  <c r="AG64" i="23"/>
  <c r="AH69" i="23"/>
  <c r="AG70" i="23"/>
  <c r="AG71" i="23" s="1"/>
  <c r="AE71" i="23"/>
  <c r="AG72" i="23"/>
  <c r="G75" i="23"/>
  <c r="J88" i="23"/>
  <c r="K88" i="23" s="1"/>
  <c r="E88" i="23"/>
  <c r="I89" i="23"/>
  <c r="J89" i="23" s="1"/>
  <c r="B89" i="23"/>
  <c r="C89" i="23"/>
  <c r="C90" i="23" s="1"/>
  <c r="C91" i="23" s="1"/>
  <c r="C92" i="23" s="1"/>
  <c r="C93" i="23" s="1"/>
  <c r="C94" i="23" s="1"/>
  <c r="C95" i="23" s="1"/>
  <c r="C96" i="23" s="1"/>
  <c r="C97" i="23" s="1"/>
  <c r="C98" i="23" s="1"/>
  <c r="C99" i="23" s="1"/>
  <c r="D89" i="23"/>
  <c r="D90" i="23"/>
  <c r="D91" i="23" s="1"/>
  <c r="D92" i="23" s="1"/>
  <c r="D93" i="23" s="1"/>
  <c r="D94" i="23" s="1"/>
  <c r="D95" i="23" s="1"/>
  <c r="D96" i="23" s="1"/>
  <c r="D97" i="23" s="1"/>
  <c r="D98" i="23" s="1"/>
  <c r="D99" i="23" s="1"/>
  <c r="J94" i="23"/>
  <c r="I95" i="23"/>
  <c r="J95" i="23" s="1"/>
  <c r="G96" i="23"/>
  <c r="I97" i="23"/>
  <c r="V88" i="23"/>
  <c r="Q88" i="23"/>
  <c r="U89" i="23"/>
  <c r="N89" i="23"/>
  <c r="N90" i="23" s="1"/>
  <c r="O89" i="23"/>
  <c r="O90" i="23" s="1"/>
  <c r="O91" i="23" s="1"/>
  <c r="P89" i="23"/>
  <c r="P90" i="23" s="1"/>
  <c r="P91" i="23" s="1"/>
  <c r="P92" i="23" s="1"/>
  <c r="P93" i="23" s="1"/>
  <c r="P94" i="23" s="1"/>
  <c r="P95" i="23" s="1"/>
  <c r="P96" i="23" s="1"/>
  <c r="P97" i="23" s="1"/>
  <c r="P98" i="23" s="1"/>
  <c r="P99" i="23" s="1"/>
  <c r="V94" i="23"/>
  <c r="U95" i="23"/>
  <c r="V95" i="23"/>
  <c r="S96" i="23"/>
  <c r="S100" i="23" s="1"/>
  <c r="U96" i="23"/>
  <c r="U97" i="23"/>
  <c r="U98" i="23" s="1"/>
  <c r="N77" i="23"/>
  <c r="N102" i="23" s="1"/>
  <c r="N175" i="23" s="1"/>
  <c r="A80" i="23"/>
  <c r="M80" i="23"/>
  <c r="Y80" i="23"/>
  <c r="A81" i="23"/>
  <c r="M81" i="23"/>
  <c r="Y81" i="23"/>
  <c r="AC88" i="23"/>
  <c r="AH88" i="23"/>
  <c r="Z89" i="23"/>
  <c r="Z90" i="23" s="1"/>
  <c r="Z91" i="23" s="1"/>
  <c r="AA89" i="23"/>
  <c r="AB89" i="23"/>
  <c r="AB90" i="23" s="1"/>
  <c r="AG89" i="23"/>
  <c r="AH89" i="23"/>
  <c r="AB91" i="23"/>
  <c r="AB92" i="23" s="1"/>
  <c r="AB93" i="23" s="1"/>
  <c r="AG90" i="23"/>
  <c r="AB94" i="23"/>
  <c r="AB95" i="23" s="1"/>
  <c r="AB96" i="23" s="1"/>
  <c r="AB97" i="23" s="1"/>
  <c r="AB98" i="23" s="1"/>
  <c r="AB99" i="23" s="1"/>
  <c r="AH94" i="23"/>
  <c r="AG95" i="23"/>
  <c r="AE96" i="23"/>
  <c r="AG97" i="23"/>
  <c r="E113" i="23"/>
  <c r="I113" i="23"/>
  <c r="I118" i="23" s="1"/>
  <c r="J113" i="23"/>
  <c r="I114" i="23"/>
  <c r="I119" i="23" s="1"/>
  <c r="I115" i="23"/>
  <c r="I160" i="23" s="1"/>
  <c r="J160" i="23" s="1"/>
  <c r="I116" i="23"/>
  <c r="J116" i="23" s="1"/>
  <c r="I117" i="23"/>
  <c r="B118" i="23"/>
  <c r="C118" i="23"/>
  <c r="C123" i="23" s="1"/>
  <c r="C128" i="23" s="1"/>
  <c r="C133" i="23" s="1"/>
  <c r="C138" i="23" s="1"/>
  <c r="C143" i="23" s="1"/>
  <c r="C148" i="23" s="1"/>
  <c r="C153" i="23" s="1"/>
  <c r="C158" i="23" s="1"/>
  <c r="C163" i="23" s="1"/>
  <c r="C168" i="23" s="1"/>
  <c r="D118" i="23"/>
  <c r="I120" i="23"/>
  <c r="J120" i="23" s="1"/>
  <c r="I143" i="23"/>
  <c r="I144" i="23"/>
  <c r="I145" i="23"/>
  <c r="I146" i="23"/>
  <c r="I147" i="23"/>
  <c r="I159" i="23"/>
  <c r="J159" i="23" s="1"/>
  <c r="I161" i="23"/>
  <c r="J161" i="23" s="1"/>
  <c r="Q113" i="23"/>
  <c r="V113" i="23"/>
  <c r="V114" i="23"/>
  <c r="V115" i="23"/>
  <c r="V116" i="23"/>
  <c r="V117" i="23"/>
  <c r="N118" i="23"/>
  <c r="N123" i="23" s="1"/>
  <c r="O118" i="23"/>
  <c r="O123" i="23" s="1"/>
  <c r="O128" i="23" s="1"/>
  <c r="O133" i="23" s="1"/>
  <c r="O138" i="23" s="1"/>
  <c r="O143" i="23" s="1"/>
  <c r="O148" i="23" s="1"/>
  <c r="O153" i="23" s="1"/>
  <c r="O158" i="23" s="1"/>
  <c r="O163" i="23" s="1"/>
  <c r="O168" i="23" s="1"/>
  <c r="P118" i="23"/>
  <c r="U118" i="23"/>
  <c r="V118" i="23" s="1"/>
  <c r="U119" i="23"/>
  <c r="V119" i="23" s="1"/>
  <c r="U120" i="23"/>
  <c r="V120" i="23" s="1"/>
  <c r="U121" i="23"/>
  <c r="U122" i="23"/>
  <c r="U167" i="23" s="1"/>
  <c r="V167" i="23" s="1"/>
  <c r="P123" i="23"/>
  <c r="P128" i="23" s="1"/>
  <c r="P133" i="23" s="1"/>
  <c r="P138" i="23" s="1"/>
  <c r="P143" i="23" s="1"/>
  <c r="P148" i="23" s="1"/>
  <c r="P153" i="23" s="1"/>
  <c r="P158" i="23" s="1"/>
  <c r="P163" i="23" s="1"/>
  <c r="P168" i="23" s="1"/>
  <c r="U125" i="23"/>
  <c r="V143" i="23"/>
  <c r="V144" i="23"/>
  <c r="V145" i="23"/>
  <c r="V146" i="23"/>
  <c r="V147" i="23"/>
  <c r="U148" i="23"/>
  <c r="V148" i="23" s="1"/>
  <c r="U149" i="23"/>
  <c r="U150" i="23"/>
  <c r="U151" i="23"/>
  <c r="U156" i="23" s="1"/>
  <c r="V156" i="23" s="1"/>
  <c r="U152" i="23"/>
  <c r="U157" i="23" s="1"/>
  <c r="V157" i="23" s="1"/>
  <c r="U158" i="23"/>
  <c r="V158" i="23" s="1"/>
  <c r="U159" i="23"/>
  <c r="V159" i="23" s="1"/>
  <c r="U160" i="23"/>
  <c r="V160" i="23" s="1"/>
  <c r="U161" i="23"/>
  <c r="V161" i="23" s="1"/>
  <c r="U162" i="23"/>
  <c r="V162" i="23" s="1"/>
  <c r="U165" i="23"/>
  <c r="V165" i="23" s="1"/>
  <c r="A105" i="23"/>
  <c r="M105" i="23"/>
  <c r="Y105" i="23"/>
  <c r="A106" i="23"/>
  <c r="M106" i="23"/>
  <c r="Y106" i="23"/>
  <c r="H113" i="23"/>
  <c r="AC113" i="23"/>
  <c r="AH113" i="23"/>
  <c r="AH114" i="23"/>
  <c r="AH115" i="23"/>
  <c r="AH116" i="23"/>
  <c r="AH117" i="23"/>
  <c r="H118" i="23"/>
  <c r="Z118" i="23"/>
  <c r="Z123" i="23" s="1"/>
  <c r="AA118" i="23"/>
  <c r="AA123" i="23" s="1"/>
  <c r="AA128" i="23" s="1"/>
  <c r="AA133" i="23" s="1"/>
  <c r="AB118" i="23"/>
  <c r="AB123" i="23" s="1"/>
  <c r="AB128" i="23" s="1"/>
  <c r="AB133" i="23" s="1"/>
  <c r="AB138" i="23" s="1"/>
  <c r="AB143" i="23" s="1"/>
  <c r="AB148" i="23" s="1"/>
  <c r="AB153" i="23" s="1"/>
  <c r="AB158" i="23" s="1"/>
  <c r="AB163" i="23" s="1"/>
  <c r="AB168" i="23" s="1"/>
  <c r="AG118" i="23"/>
  <c r="AG119" i="23"/>
  <c r="AG124" i="23" s="1"/>
  <c r="AG120" i="23"/>
  <c r="AG121" i="23"/>
  <c r="AH121" i="23" s="1"/>
  <c r="AG122" i="23"/>
  <c r="AG127" i="23" s="1"/>
  <c r="H123" i="23"/>
  <c r="AG123" i="23"/>
  <c r="H128" i="23"/>
  <c r="H133" i="23"/>
  <c r="H138" i="23"/>
  <c r="AA138" i="23"/>
  <c r="AA143" i="23" s="1"/>
  <c r="AA148" i="23" s="1"/>
  <c r="AA153" i="23" s="1"/>
  <c r="AA158" i="23" s="1"/>
  <c r="AA163" i="23" s="1"/>
  <c r="AA168" i="23" s="1"/>
  <c r="H143" i="23"/>
  <c r="AH143" i="23"/>
  <c r="AH144" i="23"/>
  <c r="AH145" i="23"/>
  <c r="AH146" i="23"/>
  <c r="AH147" i="23"/>
  <c r="H148" i="23"/>
  <c r="AG148" i="23"/>
  <c r="AG149" i="23"/>
  <c r="AH149" i="23" s="1"/>
  <c r="AG150" i="23"/>
  <c r="AG151" i="23"/>
  <c r="AG152" i="23"/>
  <c r="H153" i="23"/>
  <c r="H158" i="23"/>
  <c r="AG158" i="23"/>
  <c r="AH158" i="23" s="1"/>
  <c r="AG159" i="23"/>
  <c r="AH159" i="23" s="1"/>
  <c r="AG160" i="23"/>
  <c r="AH160" i="23"/>
  <c r="AG161" i="23"/>
  <c r="AH161" i="23" s="1"/>
  <c r="AG162" i="23"/>
  <c r="AH162" i="23" s="1"/>
  <c r="H163" i="23"/>
  <c r="H168" i="23"/>
  <c r="G173" i="23"/>
  <c r="S173" i="23"/>
  <c r="AE173" i="23"/>
  <c r="J186" i="23"/>
  <c r="E186" i="23"/>
  <c r="I187" i="23"/>
  <c r="B187" i="23"/>
  <c r="C187" i="23"/>
  <c r="C188" i="23" s="1"/>
  <c r="C189" i="23" s="1"/>
  <c r="C190" i="23" s="1"/>
  <c r="C191" i="23" s="1"/>
  <c r="C192" i="23" s="1"/>
  <c r="C193" i="23" s="1"/>
  <c r="C194" i="23" s="1"/>
  <c r="C195" i="23" s="1"/>
  <c r="C196" i="23" s="1"/>
  <c r="C197" i="23" s="1"/>
  <c r="D187" i="23"/>
  <c r="D188" i="23" s="1"/>
  <c r="D189" i="23"/>
  <c r="D190" i="23" s="1"/>
  <c r="D191" i="23" s="1"/>
  <c r="D192" i="23" s="1"/>
  <c r="D193" i="23" s="1"/>
  <c r="D194" i="23" s="1"/>
  <c r="D195" i="23" s="1"/>
  <c r="D196" i="23" s="1"/>
  <c r="D197" i="23" s="1"/>
  <c r="J192" i="23"/>
  <c r="I193" i="23"/>
  <c r="I194" i="23" s="1"/>
  <c r="G194" i="23"/>
  <c r="I195" i="23"/>
  <c r="I196" i="23" s="1"/>
  <c r="J196" i="23" s="1"/>
  <c r="V186" i="23"/>
  <c r="Q186" i="23"/>
  <c r="U187" i="23"/>
  <c r="N187" i="23"/>
  <c r="O187" i="23"/>
  <c r="O188" i="23" s="1"/>
  <c r="O189" i="23" s="1"/>
  <c r="O190" i="23" s="1"/>
  <c r="O191" i="23" s="1"/>
  <c r="O192" i="23" s="1"/>
  <c r="O193" i="23" s="1"/>
  <c r="O194" i="23" s="1"/>
  <c r="O195" i="23" s="1"/>
  <c r="O196" i="23" s="1"/>
  <c r="O197" i="23" s="1"/>
  <c r="P187" i="23"/>
  <c r="P188" i="23" s="1"/>
  <c r="P189" i="23"/>
  <c r="P190" i="23" s="1"/>
  <c r="P191" i="23" s="1"/>
  <c r="P192" i="23" s="1"/>
  <c r="P193" i="23" s="1"/>
  <c r="P194" i="23" s="1"/>
  <c r="P195" i="23" s="1"/>
  <c r="P196" i="23" s="1"/>
  <c r="P197" i="23" s="1"/>
  <c r="V192" i="23"/>
  <c r="U193" i="23"/>
  <c r="S194" i="23"/>
  <c r="S198" i="23" s="1"/>
  <c r="U195" i="23"/>
  <c r="V195" i="23" s="1"/>
  <c r="U196" i="23"/>
  <c r="N200" i="23"/>
  <c r="N225" i="23" s="1"/>
  <c r="N250" i="23" s="1"/>
  <c r="N275" i="23" s="1"/>
  <c r="N300" i="23" s="1"/>
  <c r="N325" i="23" s="1"/>
  <c r="N350" i="23" s="1"/>
  <c r="N375" i="23" s="1"/>
  <c r="N400" i="23" s="1"/>
  <c r="N425" i="23" s="1"/>
  <c r="N462" i="23" s="1"/>
  <c r="N499" i="23" s="1"/>
  <c r="N524" i="23" s="1"/>
  <c r="N549" i="23" s="1"/>
  <c r="N574" i="23" s="1"/>
  <c r="N599" i="23" s="1"/>
  <c r="N624" i="23" s="1"/>
  <c r="N649" i="23" s="1"/>
  <c r="N674" i="23" s="1"/>
  <c r="N699" i="23" s="1"/>
  <c r="N724" i="23" s="1"/>
  <c r="A178" i="23"/>
  <c r="M178" i="23"/>
  <c r="Y178" i="23"/>
  <c r="A179" i="23"/>
  <c r="M179" i="23"/>
  <c r="Y179" i="23"/>
  <c r="AC186" i="23"/>
  <c r="AH186" i="23"/>
  <c r="Z187" i="23"/>
  <c r="AA187" i="23"/>
  <c r="AB187" i="23"/>
  <c r="AB188" i="23" s="1"/>
  <c r="AB189" i="23" s="1"/>
  <c r="AB190" i="23" s="1"/>
  <c r="AB191" i="23" s="1"/>
  <c r="AB192" i="23" s="1"/>
  <c r="AB193" i="23" s="1"/>
  <c r="AB194" i="23" s="1"/>
  <c r="AB195" i="23" s="1"/>
  <c r="AB196" i="23" s="1"/>
  <c r="AB197" i="23" s="1"/>
  <c r="AG187" i="23"/>
  <c r="AH187" i="23" s="1"/>
  <c r="Z188" i="23"/>
  <c r="AA188" i="23"/>
  <c r="AA189" i="23" s="1"/>
  <c r="AA190" i="23" s="1"/>
  <c r="AA191" i="23" s="1"/>
  <c r="AA192" i="23" s="1"/>
  <c r="AA193" i="23" s="1"/>
  <c r="AA194" i="23" s="1"/>
  <c r="AA195" i="23" s="1"/>
  <c r="AA196" i="23" s="1"/>
  <c r="AA197" i="23" s="1"/>
  <c r="AG188" i="23"/>
  <c r="AH192" i="23"/>
  <c r="AG193" i="23"/>
  <c r="AE194" i="23"/>
  <c r="AE198" i="23" s="1"/>
  <c r="AG195" i="23"/>
  <c r="AH195" i="23" s="1"/>
  <c r="J211" i="23"/>
  <c r="E211" i="23"/>
  <c r="I212" i="23"/>
  <c r="J212" i="23" s="1"/>
  <c r="B212" i="23"/>
  <c r="C212" i="23"/>
  <c r="C213" i="23" s="1"/>
  <c r="C214" i="23" s="1"/>
  <c r="C215" i="23" s="1"/>
  <c r="C216" i="23" s="1"/>
  <c r="C217" i="23" s="1"/>
  <c r="C218" i="23" s="1"/>
  <c r="C219" i="23" s="1"/>
  <c r="C220" i="23" s="1"/>
  <c r="C221" i="23" s="1"/>
  <c r="C222" i="23" s="1"/>
  <c r="D212" i="23"/>
  <c r="B213" i="23"/>
  <c r="D213" i="23"/>
  <c r="D214" i="23" s="1"/>
  <c r="D215" i="23" s="1"/>
  <c r="D216" i="23" s="1"/>
  <c r="D217" i="23" s="1"/>
  <c r="D218" i="23" s="1"/>
  <c r="D219" i="23" s="1"/>
  <c r="D220" i="23" s="1"/>
  <c r="D221" i="23" s="1"/>
  <c r="D222" i="23" s="1"/>
  <c r="J217" i="23"/>
  <c r="I218" i="23"/>
  <c r="I219" i="23" s="1"/>
  <c r="J219" i="23" s="1"/>
  <c r="I220" i="23"/>
  <c r="V211" i="23"/>
  <c r="Q211" i="23"/>
  <c r="U212" i="23"/>
  <c r="V212" i="23" s="1"/>
  <c r="N212" i="23"/>
  <c r="O212" i="23"/>
  <c r="O213" i="23" s="1"/>
  <c r="O214" i="23" s="1"/>
  <c r="O215" i="23" s="1"/>
  <c r="O216" i="23" s="1"/>
  <c r="O217" i="23" s="1"/>
  <c r="O218" i="23" s="1"/>
  <c r="O219" i="23" s="1"/>
  <c r="O220" i="23" s="1"/>
  <c r="O221" i="23" s="1"/>
  <c r="O222" i="23" s="1"/>
  <c r="P212" i="23"/>
  <c r="P213" i="23" s="1"/>
  <c r="U213" i="23"/>
  <c r="V217" i="23"/>
  <c r="U218" i="23"/>
  <c r="V218" i="23" s="1"/>
  <c r="U220" i="23"/>
  <c r="V220" i="23" s="1"/>
  <c r="Z200" i="23"/>
  <c r="A203" i="23"/>
  <c r="M203" i="23"/>
  <c r="Y203" i="23"/>
  <c r="A204" i="23"/>
  <c r="M204" i="23"/>
  <c r="Y204" i="23"/>
  <c r="AC211" i="23"/>
  <c r="AH211" i="23"/>
  <c r="AI211" i="23" s="1"/>
  <c r="Z212" i="23"/>
  <c r="AA212" i="23"/>
  <c r="AA213" i="23" s="1"/>
  <c r="AB212" i="23"/>
  <c r="AB213" i="23" s="1"/>
  <c r="AB214" i="23" s="1"/>
  <c r="AB215" i="23" s="1"/>
  <c r="AB216" i="23" s="1"/>
  <c r="AB217" i="23" s="1"/>
  <c r="AB218" i="23" s="1"/>
  <c r="AB219" i="23" s="1"/>
  <c r="AB220" i="23" s="1"/>
  <c r="AB221" i="23" s="1"/>
  <c r="AB222" i="23" s="1"/>
  <c r="AG212" i="23"/>
  <c r="AG213" i="23" s="1"/>
  <c r="AA214" i="23"/>
  <c r="AA215" i="23"/>
  <c r="AA216" i="23" s="1"/>
  <c r="AA217" i="23" s="1"/>
  <c r="AA218" i="23" s="1"/>
  <c r="AA219" i="23" s="1"/>
  <c r="AA220" i="23" s="1"/>
  <c r="AA221" i="23" s="1"/>
  <c r="AA222" i="23" s="1"/>
  <c r="AH217" i="23"/>
  <c r="AG218" i="23"/>
  <c r="AG220" i="23"/>
  <c r="AG221" i="23" s="1"/>
  <c r="G223" i="23"/>
  <c r="S223" i="23"/>
  <c r="AE223" i="23"/>
  <c r="B225" i="23"/>
  <c r="B250" i="23" s="1"/>
  <c r="B275" i="23" s="1"/>
  <c r="B300" i="23" s="1"/>
  <c r="B325" i="23" s="1"/>
  <c r="B350" i="23" s="1"/>
  <c r="J236" i="23"/>
  <c r="E236" i="23"/>
  <c r="I237" i="23"/>
  <c r="I238" i="23"/>
  <c r="B237" i="23"/>
  <c r="B238" i="23" s="1"/>
  <c r="C237" i="23"/>
  <c r="C238" i="23" s="1"/>
  <c r="C239" i="23" s="1"/>
  <c r="C240" i="23" s="1"/>
  <c r="C241" i="23" s="1"/>
  <c r="C242" i="23" s="1"/>
  <c r="C243" i="23" s="1"/>
  <c r="C244" i="23" s="1"/>
  <c r="C245" i="23" s="1"/>
  <c r="C246" i="23" s="1"/>
  <c r="C247" i="23" s="1"/>
  <c r="D237" i="23"/>
  <c r="D238" i="23"/>
  <c r="D239" i="23" s="1"/>
  <c r="D240" i="23" s="1"/>
  <c r="D241" i="23" s="1"/>
  <c r="D242" i="23" s="1"/>
  <c r="D243" i="23" s="1"/>
  <c r="D244" i="23" s="1"/>
  <c r="D245" i="23" s="1"/>
  <c r="D246" i="23" s="1"/>
  <c r="D247" i="23" s="1"/>
  <c r="J242" i="23"/>
  <c r="I243" i="23"/>
  <c r="J243" i="23" s="1"/>
  <c r="G244" i="23"/>
  <c r="I245" i="23"/>
  <c r="V236" i="23"/>
  <c r="Q236" i="23"/>
  <c r="U237" i="23"/>
  <c r="V237" i="23"/>
  <c r="N237" i="23"/>
  <c r="O237" i="23"/>
  <c r="O238" i="23" s="1"/>
  <c r="O239" i="23" s="1"/>
  <c r="O240" i="23" s="1"/>
  <c r="O241" i="23" s="1"/>
  <c r="O242" i="23" s="1"/>
  <c r="O243" i="23" s="1"/>
  <c r="O244" i="23" s="1"/>
  <c r="O245" i="23" s="1"/>
  <c r="O246" i="23" s="1"/>
  <c r="O247" i="23" s="1"/>
  <c r="P237" i="23"/>
  <c r="U238" i="23"/>
  <c r="U239" i="23" s="1"/>
  <c r="V242" i="23"/>
  <c r="U243" i="23"/>
  <c r="V243" i="23"/>
  <c r="S244" i="23"/>
  <c r="U244" i="23"/>
  <c r="U245" i="23"/>
  <c r="U246" i="23" s="1"/>
  <c r="V246" i="23" s="1"/>
  <c r="Z225" i="23"/>
  <c r="Z250" i="23" s="1"/>
  <c r="A228" i="23"/>
  <c r="M228" i="23"/>
  <c r="Y228" i="23"/>
  <c r="A229" i="23"/>
  <c r="M229" i="23"/>
  <c r="Y229" i="23"/>
  <c r="AC236" i="23"/>
  <c r="AH236" i="23"/>
  <c r="Z237" i="23"/>
  <c r="AA237" i="23"/>
  <c r="AB237" i="23"/>
  <c r="AB238" i="23" s="1"/>
  <c r="AB239" i="23" s="1"/>
  <c r="AB240" i="23" s="1"/>
  <c r="AG237" i="23"/>
  <c r="AG238" i="23" s="1"/>
  <c r="AH238" i="23" s="1"/>
  <c r="AH237" i="23"/>
  <c r="AB241" i="23"/>
  <c r="AB242" i="23" s="1"/>
  <c r="AB243" i="23" s="1"/>
  <c r="AB244" i="23" s="1"/>
  <c r="AB245" i="23" s="1"/>
  <c r="AB246" i="23" s="1"/>
  <c r="AB247" i="23" s="1"/>
  <c r="AH242" i="23"/>
  <c r="AG243" i="23"/>
  <c r="AH243" i="23" s="1"/>
  <c r="AE244" i="23"/>
  <c r="AE248" i="23" s="1"/>
  <c r="AG245" i="23"/>
  <c r="J261" i="23"/>
  <c r="E261" i="23"/>
  <c r="I262" i="23"/>
  <c r="B262" i="23"/>
  <c r="C262" i="23"/>
  <c r="D262" i="23"/>
  <c r="D263" i="23"/>
  <c r="D264" i="23" s="1"/>
  <c r="D265" i="23" s="1"/>
  <c r="D266" i="23" s="1"/>
  <c r="D267" i="23" s="1"/>
  <c r="D268" i="23" s="1"/>
  <c r="D269" i="23" s="1"/>
  <c r="D270" i="23" s="1"/>
  <c r="D271" i="23" s="1"/>
  <c r="D272" i="23" s="1"/>
  <c r="J267" i="23"/>
  <c r="I268" i="23"/>
  <c r="I269" i="23" s="1"/>
  <c r="J268" i="23"/>
  <c r="G269" i="23"/>
  <c r="I270" i="23"/>
  <c r="V261" i="23"/>
  <c r="Q261" i="23"/>
  <c r="U262" i="23"/>
  <c r="N262" i="23"/>
  <c r="O262" i="23"/>
  <c r="O263" i="23" s="1"/>
  <c r="O264" i="23" s="1"/>
  <c r="O265" i="23" s="1"/>
  <c r="O266" i="23" s="1"/>
  <c r="O267" i="23" s="1"/>
  <c r="O268" i="23" s="1"/>
  <c r="O269" i="23" s="1"/>
  <c r="O270" i="23" s="1"/>
  <c r="O271" i="23" s="1"/>
  <c r="O272" i="23" s="1"/>
  <c r="P262" i="23"/>
  <c r="P263" i="23" s="1"/>
  <c r="P264" i="23" s="1"/>
  <c r="P265" i="23" s="1"/>
  <c r="P266" i="23" s="1"/>
  <c r="P267" i="23" s="1"/>
  <c r="P268" i="23" s="1"/>
  <c r="P269" i="23" s="1"/>
  <c r="P270" i="23" s="1"/>
  <c r="P271" i="23" s="1"/>
  <c r="P272" i="23" s="1"/>
  <c r="V267" i="23"/>
  <c r="U268" i="23"/>
  <c r="V268" i="23" s="1"/>
  <c r="S269" i="23"/>
  <c r="S273" i="23" s="1"/>
  <c r="U270" i="23"/>
  <c r="A253" i="23"/>
  <c r="M253" i="23"/>
  <c r="Y253" i="23"/>
  <c r="A254" i="23"/>
  <c r="M254" i="23"/>
  <c r="Y254" i="23"/>
  <c r="AC261" i="23"/>
  <c r="AH261" i="23"/>
  <c r="AI261" i="23" s="1"/>
  <c r="Z262" i="23"/>
  <c r="Z263" i="23" s="1"/>
  <c r="AA262" i="23"/>
  <c r="AB262" i="23"/>
  <c r="AG262" i="23"/>
  <c r="AG263" i="23" s="1"/>
  <c r="AA263" i="23"/>
  <c r="AA264" i="23" s="1"/>
  <c r="AA265" i="23" s="1"/>
  <c r="AA266" i="23" s="1"/>
  <c r="AA267" i="23" s="1"/>
  <c r="AA268" i="23" s="1"/>
  <c r="AA269" i="23" s="1"/>
  <c r="AA270" i="23" s="1"/>
  <c r="AA271" i="23" s="1"/>
  <c r="AA272" i="23" s="1"/>
  <c r="AH267" i="23"/>
  <c r="AG268" i="23"/>
  <c r="AH268" i="23" s="1"/>
  <c r="AE269" i="23"/>
  <c r="AG270" i="23"/>
  <c r="AE273" i="23"/>
  <c r="J286" i="23"/>
  <c r="E286" i="23"/>
  <c r="I287" i="23"/>
  <c r="J287" i="23" s="1"/>
  <c r="I288" i="23"/>
  <c r="B287" i="23"/>
  <c r="B288" i="23" s="1"/>
  <c r="B289" i="23" s="1"/>
  <c r="B290" i="23" s="1"/>
  <c r="B291" i="23" s="1"/>
  <c r="C287" i="23"/>
  <c r="D287" i="23"/>
  <c r="D288" i="23" s="1"/>
  <c r="D289" i="23" s="1"/>
  <c r="D290" i="23" s="1"/>
  <c r="D291" i="23" s="1"/>
  <c r="D292" i="23" s="1"/>
  <c r="D293" i="23" s="1"/>
  <c r="D294" i="23" s="1"/>
  <c r="D295" i="23" s="1"/>
  <c r="D296" i="23" s="1"/>
  <c r="D297" i="23" s="1"/>
  <c r="J292" i="23"/>
  <c r="I293" i="23"/>
  <c r="I295" i="23"/>
  <c r="I296" i="23" s="1"/>
  <c r="J295" i="23"/>
  <c r="V286" i="23"/>
  <c r="Q286" i="23"/>
  <c r="U287" i="23"/>
  <c r="N287" i="23"/>
  <c r="N288" i="23" s="1"/>
  <c r="O287" i="23"/>
  <c r="O288" i="23" s="1"/>
  <c r="O289" i="23" s="1"/>
  <c r="O290" i="23" s="1"/>
  <c r="O291" i="23" s="1"/>
  <c r="O292" i="23" s="1"/>
  <c r="O293" i="23" s="1"/>
  <c r="O294" i="23" s="1"/>
  <c r="O295" i="23" s="1"/>
  <c r="O296" i="23" s="1"/>
  <c r="O297" i="23" s="1"/>
  <c r="P287" i="23"/>
  <c r="P288" i="23" s="1"/>
  <c r="V292" i="23"/>
  <c r="U293" i="23"/>
  <c r="U294" i="23" s="1"/>
  <c r="V294" i="23" s="1"/>
  <c r="U295" i="23"/>
  <c r="Z275" i="23"/>
  <c r="Z300" i="23" s="1"/>
  <c r="Z325" i="23" s="1"/>
  <c r="Z350" i="23" s="1"/>
  <c r="Z375" i="23" s="1"/>
  <c r="Z400" i="23" s="1"/>
  <c r="Z425" i="23" s="1"/>
  <c r="Z462" i="23" s="1"/>
  <c r="Z499" i="23" s="1"/>
  <c r="Z524" i="23" s="1"/>
  <c r="Z549" i="23" s="1"/>
  <c r="Z574" i="23" s="1"/>
  <c r="Z599" i="23" s="1"/>
  <c r="Z624" i="23" s="1"/>
  <c r="Z649" i="23" s="1"/>
  <c r="Z674" i="23" s="1"/>
  <c r="Z699" i="23" s="1"/>
  <c r="A278" i="23"/>
  <c r="M278" i="23"/>
  <c r="Y278" i="23"/>
  <c r="A279" i="23"/>
  <c r="M279" i="23"/>
  <c r="Y279" i="23"/>
  <c r="AC286" i="23"/>
  <c r="AH286" i="23"/>
  <c r="Z287" i="23"/>
  <c r="AA287" i="23"/>
  <c r="AA288" i="23"/>
  <c r="AA289" i="23" s="1"/>
  <c r="AA290" i="23" s="1"/>
  <c r="AA291" i="23" s="1"/>
  <c r="AA292" i="23" s="1"/>
  <c r="AA293" i="23" s="1"/>
  <c r="AA294" i="23" s="1"/>
  <c r="AA295" i="23" s="1"/>
  <c r="AA296" i="23" s="1"/>
  <c r="AA297" i="23" s="1"/>
  <c r="AB287" i="23"/>
  <c r="AG287" i="23"/>
  <c r="AG288" i="23" s="1"/>
  <c r="AH287" i="23"/>
  <c r="AH292" i="23"/>
  <c r="AG293" i="23"/>
  <c r="AG295" i="23"/>
  <c r="AG296" i="23" s="1"/>
  <c r="AG297" i="23" s="1"/>
  <c r="AH297" i="23" s="1"/>
  <c r="AH295" i="23"/>
  <c r="AH296" i="23"/>
  <c r="G298" i="23"/>
  <c r="S298" i="23"/>
  <c r="AE298" i="23"/>
  <c r="J311" i="23"/>
  <c r="K311" i="23" s="1"/>
  <c r="E311" i="23"/>
  <c r="I312" i="23"/>
  <c r="J312" i="23"/>
  <c r="B312" i="23"/>
  <c r="B313" i="23" s="1"/>
  <c r="B314" i="23" s="1"/>
  <c r="C312" i="23"/>
  <c r="C313" i="23" s="1"/>
  <c r="C314" i="23" s="1"/>
  <c r="C315" i="23" s="1"/>
  <c r="C316" i="23" s="1"/>
  <c r="C317" i="23" s="1"/>
  <c r="C318" i="23" s="1"/>
  <c r="C319" i="23" s="1"/>
  <c r="C320" i="23" s="1"/>
  <c r="C321" i="23" s="1"/>
  <c r="C322" i="23" s="1"/>
  <c r="D312" i="23"/>
  <c r="D313" i="23"/>
  <c r="D314" i="23" s="1"/>
  <c r="D315" i="23"/>
  <c r="D316" i="23" s="1"/>
  <c r="D317" i="23" s="1"/>
  <c r="D318" i="23" s="1"/>
  <c r="D319" i="23" s="1"/>
  <c r="D320" i="23" s="1"/>
  <c r="D321" i="23" s="1"/>
  <c r="D322" i="23" s="1"/>
  <c r="I313" i="23"/>
  <c r="I314" i="23" s="1"/>
  <c r="J317" i="23"/>
  <c r="I318" i="23"/>
  <c r="G319" i="23"/>
  <c r="I320" i="23"/>
  <c r="J320" i="23" s="1"/>
  <c r="V311" i="23"/>
  <c r="Q311" i="23"/>
  <c r="W311" i="23" s="1"/>
  <c r="U312" i="23"/>
  <c r="N312" i="23"/>
  <c r="O312" i="23"/>
  <c r="O313" i="23" s="1"/>
  <c r="O314" i="23" s="1"/>
  <c r="O315" i="23" s="1"/>
  <c r="O316" i="23" s="1"/>
  <c r="P312" i="23"/>
  <c r="P313" i="23"/>
  <c r="P314" i="23" s="1"/>
  <c r="P315" i="23" s="1"/>
  <c r="O317" i="23"/>
  <c r="O318" i="23" s="1"/>
  <c r="O319" i="23" s="1"/>
  <c r="O320" i="23" s="1"/>
  <c r="O321" i="23" s="1"/>
  <c r="O322" i="23" s="1"/>
  <c r="V317" i="23"/>
  <c r="U318" i="23"/>
  <c r="S319" i="23"/>
  <c r="S323" i="23" s="1"/>
  <c r="U320" i="23"/>
  <c r="V320" i="23" s="1"/>
  <c r="A303" i="23"/>
  <c r="M303" i="23"/>
  <c r="Y303" i="23"/>
  <c r="A304" i="23"/>
  <c r="M304" i="23"/>
  <c r="Y304" i="23"/>
  <c r="AC311" i="23"/>
  <c r="AH311" i="23"/>
  <c r="Z312" i="23"/>
  <c r="AA312" i="23"/>
  <c r="AB312" i="23"/>
  <c r="AB313" i="23" s="1"/>
  <c r="AB314" i="23" s="1"/>
  <c r="AG312" i="23"/>
  <c r="AG313" i="23" s="1"/>
  <c r="AH312" i="23"/>
  <c r="AB315" i="23"/>
  <c r="AB316" i="23" s="1"/>
  <c r="AB317" i="23" s="1"/>
  <c r="AB318" i="23" s="1"/>
  <c r="AB319" i="23" s="1"/>
  <c r="AB320" i="23" s="1"/>
  <c r="AB321" i="23" s="1"/>
  <c r="AB322" i="23" s="1"/>
  <c r="AH317" i="23"/>
  <c r="AG318" i="23"/>
  <c r="AE319" i="23"/>
  <c r="AG320" i="23"/>
  <c r="J336" i="23"/>
  <c r="E336" i="23"/>
  <c r="I337" i="23"/>
  <c r="J337" i="23" s="1"/>
  <c r="B337" i="23"/>
  <c r="B338" i="23" s="1"/>
  <c r="C337" i="23"/>
  <c r="D337" i="23"/>
  <c r="D338" i="23" s="1"/>
  <c r="D339" i="23" s="1"/>
  <c r="D340" i="23" s="1"/>
  <c r="D341" i="23" s="1"/>
  <c r="D342" i="23" s="1"/>
  <c r="D343" i="23" s="1"/>
  <c r="D344" i="23" s="1"/>
  <c r="D345" i="23" s="1"/>
  <c r="D346" i="23" s="1"/>
  <c r="D347" i="23" s="1"/>
  <c r="J342" i="23"/>
  <c r="I343" i="23"/>
  <c r="J343" i="23" s="1"/>
  <c r="G344" i="23"/>
  <c r="I345" i="23"/>
  <c r="V336" i="23"/>
  <c r="Q336" i="23"/>
  <c r="U337" i="23"/>
  <c r="N337" i="23"/>
  <c r="O337" i="23"/>
  <c r="O338" i="23" s="1"/>
  <c r="P337" i="23"/>
  <c r="P338" i="23" s="1"/>
  <c r="P339" i="23" s="1"/>
  <c r="P340" i="23" s="1"/>
  <c r="P341" i="23" s="1"/>
  <c r="P342" i="23" s="1"/>
  <c r="P343" i="23" s="1"/>
  <c r="P344" i="23" s="1"/>
  <c r="P345" i="23" s="1"/>
  <c r="P346" i="23" s="1"/>
  <c r="P347" i="23" s="1"/>
  <c r="N338" i="23"/>
  <c r="V342" i="23"/>
  <c r="U343" i="23"/>
  <c r="S344" i="23"/>
  <c r="S348" i="23" s="1"/>
  <c r="U345" i="23"/>
  <c r="V345" i="23"/>
  <c r="U346" i="23"/>
  <c r="A328" i="23"/>
  <c r="M328" i="23"/>
  <c r="Y328" i="23"/>
  <c r="A329" i="23"/>
  <c r="M329" i="23"/>
  <c r="Y329" i="23"/>
  <c r="AC336" i="23"/>
  <c r="AH336" i="23"/>
  <c r="AI336" i="23" s="1"/>
  <c r="Z337" i="23"/>
  <c r="AA337" i="23"/>
  <c r="AB337" i="23"/>
  <c r="AB338" i="23" s="1"/>
  <c r="AB339" i="23" s="1"/>
  <c r="AB340" i="23" s="1"/>
  <c r="AB341" i="23" s="1"/>
  <c r="AB342" i="23" s="1"/>
  <c r="AB343" i="23" s="1"/>
  <c r="AB344" i="23" s="1"/>
  <c r="AB345" i="23" s="1"/>
  <c r="AB346" i="23" s="1"/>
  <c r="AB347" i="23" s="1"/>
  <c r="AG337" i="23"/>
  <c r="Z338" i="23"/>
  <c r="Z339" i="23" s="1"/>
  <c r="AH342" i="23"/>
  <c r="AG343" i="23"/>
  <c r="AE344" i="23"/>
  <c r="AG345" i="23"/>
  <c r="AH345" i="23"/>
  <c r="AG346" i="23"/>
  <c r="B375" i="23"/>
  <c r="B400" i="23" s="1"/>
  <c r="B425" i="23" s="1"/>
  <c r="J361" i="23"/>
  <c r="E361" i="23"/>
  <c r="I362" i="23"/>
  <c r="J362" i="23" s="1"/>
  <c r="B362" i="23"/>
  <c r="C362" i="23"/>
  <c r="D362" i="23"/>
  <c r="D363" i="23" s="1"/>
  <c r="D364" i="23" s="1"/>
  <c r="D365" i="23" s="1"/>
  <c r="D366" i="23" s="1"/>
  <c r="D367" i="23" s="1"/>
  <c r="D368" i="23" s="1"/>
  <c r="D369" i="23" s="1"/>
  <c r="D370" i="23" s="1"/>
  <c r="D371" i="23" s="1"/>
  <c r="D372" i="23" s="1"/>
  <c r="B363" i="23"/>
  <c r="B364" i="23"/>
  <c r="J367" i="23"/>
  <c r="I368" i="23"/>
  <c r="J368" i="23" s="1"/>
  <c r="G369" i="23"/>
  <c r="I369" i="23"/>
  <c r="I370" i="23"/>
  <c r="J370" i="23" s="1"/>
  <c r="V361" i="23"/>
  <c r="Q361" i="23"/>
  <c r="W361" i="23" s="1"/>
  <c r="U362" i="23"/>
  <c r="N362" i="23"/>
  <c r="O362" i="23"/>
  <c r="O363" i="23" s="1"/>
  <c r="O364" i="23" s="1"/>
  <c r="O365" i="23" s="1"/>
  <c r="O366" i="23" s="1"/>
  <c r="O367" i="23" s="1"/>
  <c r="O368" i="23" s="1"/>
  <c r="O369" i="23" s="1"/>
  <c r="O370" i="23" s="1"/>
  <c r="O371" i="23" s="1"/>
  <c r="O372" i="23" s="1"/>
  <c r="P362" i="23"/>
  <c r="Q362" i="23" s="1"/>
  <c r="V367" i="23"/>
  <c r="U368" i="23"/>
  <c r="S369" i="23"/>
  <c r="U370" i="23"/>
  <c r="A353" i="23"/>
  <c r="M353" i="23"/>
  <c r="Y353" i="23"/>
  <c r="A354" i="23"/>
  <c r="M354" i="23"/>
  <c r="Y354" i="23"/>
  <c r="AC361" i="23"/>
  <c r="AH361" i="23"/>
  <c r="Z362" i="23"/>
  <c r="AA362" i="23"/>
  <c r="AA363" i="23" s="1"/>
  <c r="AA364" i="23" s="1"/>
  <c r="AA365" i="23" s="1"/>
  <c r="AA366" i="23" s="1"/>
  <c r="AA367" i="23" s="1"/>
  <c r="AA368" i="23" s="1"/>
  <c r="AA369" i="23" s="1"/>
  <c r="AA370" i="23" s="1"/>
  <c r="AA371" i="23" s="1"/>
  <c r="AA372" i="23" s="1"/>
  <c r="AB362" i="23"/>
  <c r="AB363" i="23" s="1"/>
  <c r="AG362" i="23"/>
  <c r="AB364" i="23"/>
  <c r="AB365" i="23" s="1"/>
  <c r="AB366" i="23" s="1"/>
  <c r="AB367" i="23" s="1"/>
  <c r="AB368" i="23" s="1"/>
  <c r="AB369" i="23" s="1"/>
  <c r="AB370" i="23" s="1"/>
  <c r="AB371" i="23" s="1"/>
  <c r="AB372" i="23" s="1"/>
  <c r="AH367" i="23"/>
  <c r="AG368" i="23"/>
  <c r="AG369" i="23" s="1"/>
  <c r="AH369" i="23" s="1"/>
  <c r="AE369" i="23"/>
  <c r="AG370" i="23"/>
  <c r="AG371" i="23" s="1"/>
  <c r="AE373" i="23"/>
  <c r="J386" i="23"/>
  <c r="E386" i="23"/>
  <c r="K386" i="23" s="1"/>
  <c r="I387" i="23"/>
  <c r="B387" i="23"/>
  <c r="C387" i="23"/>
  <c r="D387" i="23"/>
  <c r="D388" i="23" s="1"/>
  <c r="D389" i="23" s="1"/>
  <c r="D390" i="23" s="1"/>
  <c r="D391" i="23" s="1"/>
  <c r="D392" i="23" s="1"/>
  <c r="D393" i="23" s="1"/>
  <c r="D394" i="23" s="1"/>
  <c r="D395" i="23" s="1"/>
  <c r="D396" i="23" s="1"/>
  <c r="D397" i="23" s="1"/>
  <c r="J392" i="23"/>
  <c r="I393" i="23"/>
  <c r="G394" i="23"/>
  <c r="I395" i="23"/>
  <c r="I396" i="23" s="1"/>
  <c r="J395" i="23"/>
  <c r="V386" i="23"/>
  <c r="Q386" i="23"/>
  <c r="U387" i="23"/>
  <c r="N387" i="23"/>
  <c r="O387" i="23"/>
  <c r="O388" i="23" s="1"/>
  <c r="O389" i="23" s="1"/>
  <c r="O390" i="23" s="1"/>
  <c r="O391" i="23" s="1"/>
  <c r="O392" i="23" s="1"/>
  <c r="O393" i="23" s="1"/>
  <c r="O394" i="23" s="1"/>
  <c r="O395" i="23" s="1"/>
  <c r="O396" i="23" s="1"/>
  <c r="O397" i="23" s="1"/>
  <c r="P387" i="23"/>
  <c r="V392" i="23"/>
  <c r="U393" i="23"/>
  <c r="V393" i="23" s="1"/>
  <c r="S394" i="23"/>
  <c r="U394" i="23"/>
  <c r="U395" i="23"/>
  <c r="A378" i="23"/>
  <c r="M378" i="23"/>
  <c r="Y378" i="23"/>
  <c r="A379" i="23"/>
  <c r="M379" i="23"/>
  <c r="Y379" i="23"/>
  <c r="AC386" i="23"/>
  <c r="AH386" i="23"/>
  <c r="AI386" i="23" s="1"/>
  <c r="Z387" i="23"/>
  <c r="Z388" i="23" s="1"/>
  <c r="AA387" i="23"/>
  <c r="AB387" i="23"/>
  <c r="AB388" i="23" s="1"/>
  <c r="AB389" i="23" s="1"/>
  <c r="AB390" i="23" s="1"/>
  <c r="AB391" i="23" s="1"/>
  <c r="AB392" i="23" s="1"/>
  <c r="AB393" i="23" s="1"/>
  <c r="AB394" i="23" s="1"/>
  <c r="AB395" i="23" s="1"/>
  <c r="AB396" i="23" s="1"/>
  <c r="AB397" i="23" s="1"/>
  <c r="AG387" i="23"/>
  <c r="AG388" i="23" s="1"/>
  <c r="AH392" i="23"/>
  <c r="AG393" i="23"/>
  <c r="AE394" i="23"/>
  <c r="AG395" i="23"/>
  <c r="AG396" i="23" s="1"/>
  <c r="AH395" i="23"/>
  <c r="G398" i="23"/>
  <c r="J411" i="23"/>
  <c r="K411" i="23" s="1"/>
  <c r="E411" i="23"/>
  <c r="I412" i="23"/>
  <c r="I413" i="23" s="1"/>
  <c r="I414" i="23" s="1"/>
  <c r="I415" i="23" s="1"/>
  <c r="J412" i="23"/>
  <c r="B412" i="23"/>
  <c r="B413" i="23" s="1"/>
  <c r="B414" i="23" s="1"/>
  <c r="B415" i="23" s="1"/>
  <c r="B416" i="23" s="1"/>
  <c r="B417" i="23" s="1"/>
  <c r="B418" i="23" s="1"/>
  <c r="B419" i="23" s="1"/>
  <c r="B420" i="23" s="1"/>
  <c r="B421" i="23" s="1"/>
  <c r="B422" i="23" s="1"/>
  <c r="C412" i="23"/>
  <c r="D412" i="23"/>
  <c r="D413" i="23"/>
  <c r="D414" i="23" s="1"/>
  <c r="D415" i="23"/>
  <c r="D416" i="23" s="1"/>
  <c r="D417" i="23" s="1"/>
  <c r="D418" i="23" s="1"/>
  <c r="D419" i="23" s="1"/>
  <c r="D420" i="23" s="1"/>
  <c r="D421" i="23" s="1"/>
  <c r="D422" i="23" s="1"/>
  <c r="J417" i="23"/>
  <c r="I418" i="23"/>
  <c r="I420" i="23"/>
  <c r="V411" i="23"/>
  <c r="Q411" i="23"/>
  <c r="U412" i="23"/>
  <c r="V412" i="23" s="1"/>
  <c r="N412" i="23"/>
  <c r="O412" i="23"/>
  <c r="P412" i="23"/>
  <c r="P413" i="23" s="1"/>
  <c r="P414" i="23" s="1"/>
  <c r="P415" i="23" s="1"/>
  <c r="P416" i="23" s="1"/>
  <c r="P417" i="23" s="1"/>
  <c r="P418" i="23" s="1"/>
  <c r="P419" i="23" s="1"/>
  <c r="P420" i="23" s="1"/>
  <c r="P421" i="23" s="1"/>
  <c r="P422" i="23" s="1"/>
  <c r="N413" i="23"/>
  <c r="N414" i="23" s="1"/>
  <c r="V417" i="23"/>
  <c r="U418" i="23"/>
  <c r="U419" i="23" s="1"/>
  <c r="V419" i="23" s="1"/>
  <c r="V418" i="23"/>
  <c r="U420" i="23"/>
  <c r="A403" i="23"/>
  <c r="M403" i="23"/>
  <c r="Y403" i="23"/>
  <c r="A404" i="23"/>
  <c r="M404" i="23"/>
  <c r="Y404" i="23"/>
  <c r="AC411" i="23"/>
  <c r="AH411" i="23"/>
  <c r="Z412" i="23"/>
  <c r="Z413" i="23" s="1"/>
  <c r="Z414" i="23" s="1"/>
  <c r="AA412" i="23"/>
  <c r="AA413" i="23" s="1"/>
  <c r="AA414" i="23" s="1"/>
  <c r="AA415" i="23" s="1"/>
  <c r="AA416" i="23" s="1"/>
  <c r="AA417" i="23" s="1"/>
  <c r="AA418" i="23" s="1"/>
  <c r="AA419" i="23" s="1"/>
  <c r="AA420" i="23" s="1"/>
  <c r="AA421" i="23" s="1"/>
  <c r="AA422" i="23" s="1"/>
  <c r="AB412" i="23"/>
  <c r="AG412" i="23"/>
  <c r="AH412" i="23" s="1"/>
  <c r="AH417" i="23"/>
  <c r="AG418" i="23"/>
  <c r="AG419" i="23" s="1"/>
  <c r="AH418" i="23"/>
  <c r="AH419" i="23"/>
  <c r="AG420" i="23"/>
  <c r="AH420" i="23" s="1"/>
  <c r="G423" i="23"/>
  <c r="S423" i="23"/>
  <c r="AE423" i="23"/>
  <c r="B462" i="23"/>
  <c r="B499" i="23" s="1"/>
  <c r="B524" i="23" s="1"/>
  <c r="B549" i="23" s="1"/>
  <c r="B574" i="23" s="1"/>
  <c r="B599" i="23" s="1"/>
  <c r="B624" i="23" s="1"/>
  <c r="B649" i="23" s="1"/>
  <c r="B674" i="23" s="1"/>
  <c r="B699" i="23" s="1"/>
  <c r="B724" i="23" s="1"/>
  <c r="G436" i="23"/>
  <c r="E436" i="23"/>
  <c r="G438" i="23"/>
  <c r="I438" i="23"/>
  <c r="I440" i="23" s="1"/>
  <c r="B438" i="23"/>
  <c r="C438" i="23"/>
  <c r="D438" i="23"/>
  <c r="D440" i="23" s="1"/>
  <c r="D442" i="23" s="1"/>
  <c r="D444" i="23" s="1"/>
  <c r="D446" i="23" s="1"/>
  <c r="D448" i="23" s="1"/>
  <c r="D450" i="23" s="1"/>
  <c r="D452" i="23" s="1"/>
  <c r="D454" i="23" s="1"/>
  <c r="D456" i="23" s="1"/>
  <c r="D458" i="23" s="1"/>
  <c r="I439" i="23"/>
  <c r="I441" i="23" s="1"/>
  <c r="G440" i="23"/>
  <c r="G441" i="23" s="1"/>
  <c r="C440" i="23"/>
  <c r="C442" i="23" s="1"/>
  <c r="C444" i="23" s="1"/>
  <c r="C446" i="23" s="1"/>
  <c r="C448" i="23" s="1"/>
  <c r="C450" i="23" s="1"/>
  <c r="C452" i="23" s="1"/>
  <c r="C454" i="23" s="1"/>
  <c r="C456" i="23" s="1"/>
  <c r="C458" i="23" s="1"/>
  <c r="I443" i="23"/>
  <c r="G446" i="23"/>
  <c r="G447" i="23"/>
  <c r="J448" i="23"/>
  <c r="J449" i="23"/>
  <c r="I450" i="23"/>
  <c r="I451" i="23"/>
  <c r="G452" i="23"/>
  <c r="G453" i="23"/>
  <c r="S436" i="23"/>
  <c r="S437" i="23" s="1"/>
  <c r="U436" i="23"/>
  <c r="U438" i="23" s="1"/>
  <c r="Q436" i="23"/>
  <c r="U437" i="23"/>
  <c r="U439" i="23" s="1"/>
  <c r="U441" i="23" s="1"/>
  <c r="U443" i="23" s="1"/>
  <c r="U445" i="23" s="1"/>
  <c r="V445" i="23" s="1"/>
  <c r="S438" i="23"/>
  <c r="N438" i="23"/>
  <c r="O438" i="23"/>
  <c r="O440" i="23" s="1"/>
  <c r="P438" i="23"/>
  <c r="P440" i="23" s="1"/>
  <c r="P442" i="23" s="1"/>
  <c r="S439" i="23"/>
  <c r="V439" i="23" s="1"/>
  <c r="S440" i="23"/>
  <c r="P444" i="23"/>
  <c r="P446" i="23" s="1"/>
  <c r="P448" i="23" s="1"/>
  <c r="P450" i="23" s="1"/>
  <c r="P452" i="23" s="1"/>
  <c r="P454" i="23" s="1"/>
  <c r="P456" i="23" s="1"/>
  <c r="P458" i="23" s="1"/>
  <c r="S446" i="23"/>
  <c r="S447" i="23"/>
  <c r="U448" i="23"/>
  <c r="V448" i="23" s="1"/>
  <c r="U449" i="23"/>
  <c r="V449" i="23" s="1"/>
  <c r="S452" i="23"/>
  <c r="S453" i="23"/>
  <c r="A428" i="23"/>
  <c r="M428" i="23"/>
  <c r="Y428" i="23"/>
  <c r="A429" i="23"/>
  <c r="M429" i="23"/>
  <c r="Y429" i="23"/>
  <c r="AC436" i="23"/>
  <c r="AE436" i="23"/>
  <c r="AE437" i="23" s="1"/>
  <c r="AH437" i="23" s="1"/>
  <c r="AG436" i="23"/>
  <c r="AG437" i="23"/>
  <c r="Z438" i="23"/>
  <c r="AA438" i="23"/>
  <c r="AA440" i="23" s="1"/>
  <c r="AA442" i="23" s="1"/>
  <c r="AA444" i="23" s="1"/>
  <c r="AA446" i="23" s="1"/>
  <c r="AA448" i="23" s="1"/>
  <c r="AA450" i="23" s="1"/>
  <c r="AA452" i="23" s="1"/>
  <c r="AA454" i="23" s="1"/>
  <c r="AA456" i="23" s="1"/>
  <c r="AA458" i="23" s="1"/>
  <c r="AB438" i="23"/>
  <c r="AB440" i="23" s="1"/>
  <c r="AB442" i="23" s="1"/>
  <c r="AB444" i="23" s="1"/>
  <c r="AB446" i="23" s="1"/>
  <c r="AB448" i="23" s="1"/>
  <c r="AB450" i="23" s="1"/>
  <c r="AB452" i="23" s="1"/>
  <c r="AB454" i="23" s="1"/>
  <c r="AB456" i="23" s="1"/>
  <c r="AB458" i="23" s="1"/>
  <c r="AE438" i="23"/>
  <c r="AG439" i="23"/>
  <c r="AG441" i="23" s="1"/>
  <c r="AG443" i="23" s="1"/>
  <c r="AE440" i="23"/>
  <c r="AE441" i="23" s="1"/>
  <c r="H442" i="23"/>
  <c r="H444" i="23"/>
  <c r="AE446" i="23"/>
  <c r="AE447" i="23"/>
  <c r="H448" i="23"/>
  <c r="AG448" i="23"/>
  <c r="AG450" i="23" s="1"/>
  <c r="AG449" i="23"/>
  <c r="AG451" i="23" s="1"/>
  <c r="AG453" i="23" s="1"/>
  <c r="H450" i="23"/>
  <c r="AE452" i="23"/>
  <c r="AE453" i="23"/>
  <c r="AH453" i="23" s="1"/>
  <c r="H454" i="23"/>
  <c r="H456" i="23"/>
  <c r="H458" i="23"/>
  <c r="G473" i="23"/>
  <c r="I473" i="23"/>
  <c r="I46" i="10" s="1"/>
  <c r="E473" i="23"/>
  <c r="I474" i="23"/>
  <c r="G475" i="23"/>
  <c r="B475" i="23"/>
  <c r="C475" i="23"/>
  <c r="C477" i="23" s="1"/>
  <c r="C479" i="23" s="1"/>
  <c r="C481" i="23" s="1"/>
  <c r="C483" i="23" s="1"/>
  <c r="C485" i="23" s="1"/>
  <c r="C487" i="23" s="1"/>
  <c r="C489" i="23" s="1"/>
  <c r="C491" i="23" s="1"/>
  <c r="C493" i="23" s="1"/>
  <c r="C495" i="23" s="1"/>
  <c r="D475" i="23"/>
  <c r="D477" i="23" s="1"/>
  <c r="D479" i="23" s="1"/>
  <c r="G476" i="23"/>
  <c r="G477" i="23"/>
  <c r="G483" i="23"/>
  <c r="G484" i="23"/>
  <c r="I485" i="23"/>
  <c r="I486" i="23"/>
  <c r="G489" i="23"/>
  <c r="G490" i="23"/>
  <c r="S473" i="23"/>
  <c r="S474" i="23" s="1"/>
  <c r="V474" i="23" s="1"/>
  <c r="Q473" i="23"/>
  <c r="S475" i="23"/>
  <c r="U475" i="23"/>
  <c r="N475" i="23"/>
  <c r="N477" i="23" s="1"/>
  <c r="N479" i="23" s="1"/>
  <c r="N481" i="23" s="1"/>
  <c r="N483" i="23" s="1"/>
  <c r="O475" i="23"/>
  <c r="P475" i="23"/>
  <c r="U476" i="23"/>
  <c r="U478" i="23" s="1"/>
  <c r="S477" i="23"/>
  <c r="S478" i="23" s="1"/>
  <c r="S483" i="23"/>
  <c r="S484" i="23"/>
  <c r="V485" i="23"/>
  <c r="V486" i="23"/>
  <c r="U487" i="23"/>
  <c r="U488" i="23"/>
  <c r="U490" i="23" s="1"/>
  <c r="S489" i="23"/>
  <c r="S490" i="23"/>
  <c r="A465" i="23"/>
  <c r="M465" i="23"/>
  <c r="Y465" i="23"/>
  <c r="A466" i="23"/>
  <c r="M466" i="23"/>
  <c r="Y466" i="23"/>
  <c r="AC473" i="23"/>
  <c r="AE473" i="23"/>
  <c r="AH473" i="23" s="1"/>
  <c r="Z475" i="23"/>
  <c r="AA475" i="23"/>
  <c r="AA477" i="23" s="1"/>
  <c r="AA479" i="23" s="1"/>
  <c r="AA481" i="23" s="1"/>
  <c r="AA483" i="23" s="1"/>
  <c r="AA485" i="23" s="1"/>
  <c r="AA487" i="23" s="1"/>
  <c r="AB475" i="23"/>
  <c r="AB477" i="23" s="1"/>
  <c r="AB479" i="23" s="1"/>
  <c r="AB481" i="23" s="1"/>
  <c r="AB483" i="23" s="1"/>
  <c r="AE475" i="23"/>
  <c r="AG475" i="23"/>
  <c r="AG477" i="23" s="1"/>
  <c r="AG479" i="23" s="1"/>
  <c r="AG476" i="23"/>
  <c r="AG478" i="23" s="1"/>
  <c r="AG480" i="23" s="1"/>
  <c r="AE477" i="23"/>
  <c r="AH477" i="23" s="1"/>
  <c r="H479" i="23"/>
  <c r="H481" i="23"/>
  <c r="AB485" i="23"/>
  <c r="AB487" i="23" s="1"/>
  <c r="AB489" i="23" s="1"/>
  <c r="AB491" i="23" s="1"/>
  <c r="AB493" i="23" s="1"/>
  <c r="AB495" i="23" s="1"/>
  <c r="AE483" i="23"/>
  <c r="AE484" i="23"/>
  <c r="H485" i="23"/>
  <c r="AA489" i="23"/>
  <c r="AA491" i="23" s="1"/>
  <c r="AA493" i="23" s="1"/>
  <c r="AA495" i="23" s="1"/>
  <c r="AH485" i="23"/>
  <c r="AH486" i="23"/>
  <c r="H487" i="23"/>
  <c r="AG487" i="23"/>
  <c r="AH487" i="23" s="1"/>
  <c r="AG488" i="23"/>
  <c r="AE489" i="23"/>
  <c r="AE490" i="23"/>
  <c r="H491" i="23"/>
  <c r="H493" i="23"/>
  <c r="H495" i="23"/>
  <c r="J510" i="23"/>
  <c r="E510" i="23"/>
  <c r="I511" i="23"/>
  <c r="B511" i="23"/>
  <c r="C511" i="23"/>
  <c r="C512" i="23" s="1"/>
  <c r="C513" i="23" s="1"/>
  <c r="C514" i="23" s="1"/>
  <c r="C515" i="23" s="1"/>
  <c r="C516" i="23" s="1"/>
  <c r="C517" i="23" s="1"/>
  <c r="C518" i="23" s="1"/>
  <c r="C519" i="23" s="1"/>
  <c r="C520" i="23" s="1"/>
  <c r="C521" i="23" s="1"/>
  <c r="D511" i="23"/>
  <c r="D512" i="23" s="1"/>
  <c r="D513" i="23" s="1"/>
  <c r="D514" i="23" s="1"/>
  <c r="D515" i="23" s="1"/>
  <c r="D516" i="23" s="1"/>
  <c r="D517" i="23" s="1"/>
  <c r="D518" i="23" s="1"/>
  <c r="D519" i="23" s="1"/>
  <c r="D520" i="23" s="1"/>
  <c r="D521" i="23" s="1"/>
  <c r="J516" i="23"/>
  <c r="I517" i="23"/>
  <c r="J517" i="23"/>
  <c r="G518" i="23"/>
  <c r="H48" i="10" s="1"/>
  <c r="I518" i="23"/>
  <c r="J518" i="23" s="1"/>
  <c r="I519" i="23"/>
  <c r="V510" i="23"/>
  <c r="Q510" i="23"/>
  <c r="U511" i="23"/>
  <c r="V511" i="23" s="1"/>
  <c r="N511" i="23"/>
  <c r="O511" i="23"/>
  <c r="O512" i="23" s="1"/>
  <c r="P511" i="23"/>
  <c r="P512" i="23" s="1"/>
  <c r="P513" i="23" s="1"/>
  <c r="P514" i="23" s="1"/>
  <c r="P515" i="23" s="1"/>
  <c r="P516" i="23" s="1"/>
  <c r="P517" i="23" s="1"/>
  <c r="P518" i="23" s="1"/>
  <c r="P519" i="23" s="1"/>
  <c r="P520" i="23" s="1"/>
  <c r="P521" i="23" s="1"/>
  <c r="U512" i="23"/>
  <c r="V512" i="23" s="1"/>
  <c r="V516" i="23"/>
  <c r="U517" i="23"/>
  <c r="V517" i="23" s="1"/>
  <c r="S518" i="23"/>
  <c r="S522" i="23" s="1"/>
  <c r="U519" i="23"/>
  <c r="V519" i="23" s="1"/>
  <c r="A502" i="23"/>
  <c r="M502" i="23"/>
  <c r="Y502" i="23"/>
  <c r="A503" i="23"/>
  <c r="M503" i="23"/>
  <c r="Y503" i="23"/>
  <c r="AC510" i="23"/>
  <c r="AH510" i="23"/>
  <c r="Z511" i="23"/>
  <c r="AA511" i="23"/>
  <c r="AA512" i="23" s="1"/>
  <c r="AB511" i="23"/>
  <c r="AB512" i="23" s="1"/>
  <c r="AG511" i="23"/>
  <c r="Z512" i="23"/>
  <c r="AA513" i="23"/>
  <c r="AA514" i="23" s="1"/>
  <c r="AA515" i="23" s="1"/>
  <c r="AA516" i="23" s="1"/>
  <c r="AA517" i="23" s="1"/>
  <c r="AA518" i="23" s="1"/>
  <c r="AA519" i="23" s="1"/>
  <c r="AA520" i="23" s="1"/>
  <c r="AA521" i="23" s="1"/>
  <c r="AH516" i="23"/>
  <c r="AG517" i="23"/>
  <c r="AH517" i="23"/>
  <c r="AE518" i="23"/>
  <c r="AG518" i="23"/>
  <c r="AG519" i="23"/>
  <c r="AH519" i="23" s="1"/>
  <c r="G522" i="23"/>
  <c r="J535" i="23"/>
  <c r="E535" i="23"/>
  <c r="I536" i="23"/>
  <c r="B536" i="23"/>
  <c r="B537" i="23" s="1"/>
  <c r="B538" i="23" s="1"/>
  <c r="C536" i="23"/>
  <c r="D536" i="23"/>
  <c r="J541" i="23"/>
  <c r="I542" i="23"/>
  <c r="G543" i="23"/>
  <c r="I544" i="23"/>
  <c r="V535" i="23"/>
  <c r="Q535" i="23"/>
  <c r="U536" i="23"/>
  <c r="N536" i="23"/>
  <c r="O536" i="23"/>
  <c r="P536" i="23"/>
  <c r="P537" i="23" s="1"/>
  <c r="P538" i="23" s="1"/>
  <c r="P539" i="23" s="1"/>
  <c r="P540" i="23" s="1"/>
  <c r="P541" i="23" s="1"/>
  <c r="P542" i="23" s="1"/>
  <c r="P543" i="23" s="1"/>
  <c r="P544" i="23" s="1"/>
  <c r="P545" i="23" s="1"/>
  <c r="P546" i="23" s="1"/>
  <c r="N537" i="23"/>
  <c r="N538" i="23" s="1"/>
  <c r="V541" i="23"/>
  <c r="U542" i="23"/>
  <c r="S543" i="23"/>
  <c r="U544" i="23"/>
  <c r="A527" i="23"/>
  <c r="M527" i="23"/>
  <c r="Y527" i="23"/>
  <c r="A528" i="23"/>
  <c r="M528" i="23"/>
  <c r="Y528" i="23"/>
  <c r="AC535" i="23"/>
  <c r="AH535" i="23"/>
  <c r="Z536" i="23"/>
  <c r="AA536" i="23"/>
  <c r="AB536" i="23"/>
  <c r="AG536" i="23"/>
  <c r="Z537" i="23"/>
  <c r="AB537" i="23"/>
  <c r="AB538" i="23" s="1"/>
  <c r="AB539" i="23" s="1"/>
  <c r="AB540" i="23" s="1"/>
  <c r="AB541" i="23" s="1"/>
  <c r="AB542" i="23" s="1"/>
  <c r="AB543" i="23" s="1"/>
  <c r="AB544" i="23" s="1"/>
  <c r="AB545" i="23" s="1"/>
  <c r="AB546" i="23" s="1"/>
  <c r="AH541" i="23"/>
  <c r="AG542" i="23"/>
  <c r="AG543" i="23" s="1"/>
  <c r="AE543" i="23"/>
  <c r="AG544" i="23"/>
  <c r="AH544" i="23" s="1"/>
  <c r="G547" i="23"/>
  <c r="S547" i="23"/>
  <c r="J560" i="23"/>
  <c r="E560" i="23"/>
  <c r="I561" i="23"/>
  <c r="B561" i="23"/>
  <c r="C561" i="23"/>
  <c r="C562" i="23" s="1"/>
  <c r="C563" i="23" s="1"/>
  <c r="C564" i="23" s="1"/>
  <c r="C565" i="23" s="1"/>
  <c r="C566" i="23" s="1"/>
  <c r="C567" i="23" s="1"/>
  <c r="C568" i="23" s="1"/>
  <c r="C569" i="23" s="1"/>
  <c r="C570" i="23" s="1"/>
  <c r="C571" i="23" s="1"/>
  <c r="D561" i="23"/>
  <c r="J566" i="23"/>
  <c r="I567" i="23"/>
  <c r="J567" i="23" s="1"/>
  <c r="G568" i="23"/>
  <c r="I569" i="23"/>
  <c r="V560" i="23"/>
  <c r="Q560" i="23"/>
  <c r="U561" i="23"/>
  <c r="V561" i="23" s="1"/>
  <c r="N561" i="23"/>
  <c r="O561" i="23"/>
  <c r="O562" i="23" s="1"/>
  <c r="O563" i="23" s="1"/>
  <c r="O564" i="23" s="1"/>
  <c r="O565" i="23" s="1"/>
  <c r="O566" i="23" s="1"/>
  <c r="O567" i="23" s="1"/>
  <c r="O568" i="23" s="1"/>
  <c r="O569" i="23" s="1"/>
  <c r="O570" i="23" s="1"/>
  <c r="O571" i="23" s="1"/>
  <c r="P561" i="23"/>
  <c r="P562" i="23" s="1"/>
  <c r="P563" i="23" s="1"/>
  <c r="P564" i="23" s="1"/>
  <c r="P565" i="23" s="1"/>
  <c r="P566" i="23" s="1"/>
  <c r="P567" i="23" s="1"/>
  <c r="P568" i="23" s="1"/>
  <c r="P569" i="23" s="1"/>
  <c r="P570" i="23" s="1"/>
  <c r="P571" i="23" s="1"/>
  <c r="V566" i="23"/>
  <c r="U567" i="23"/>
  <c r="S568" i="23"/>
  <c r="U569" i="23"/>
  <c r="V569" i="23" s="1"/>
  <c r="U570" i="23"/>
  <c r="V570" i="23" s="1"/>
  <c r="A552" i="23"/>
  <c r="M552" i="23"/>
  <c r="Y552" i="23"/>
  <c r="A553" i="23"/>
  <c r="M553" i="23"/>
  <c r="Y553" i="23"/>
  <c r="AC560" i="23"/>
  <c r="AH560" i="23"/>
  <c r="AI560" i="23" s="1"/>
  <c r="Z561" i="23"/>
  <c r="AA561" i="23"/>
  <c r="AA562" i="23" s="1"/>
  <c r="AA563" i="23" s="1"/>
  <c r="AA564" i="23" s="1"/>
  <c r="AA565" i="23" s="1"/>
  <c r="AA566" i="23" s="1"/>
  <c r="AA567" i="23" s="1"/>
  <c r="AA568" i="23" s="1"/>
  <c r="AA569" i="23" s="1"/>
  <c r="AA570" i="23" s="1"/>
  <c r="AA571" i="23" s="1"/>
  <c r="AB561" i="23"/>
  <c r="AG561" i="23"/>
  <c r="AH561" i="23" s="1"/>
  <c r="AH566" i="23"/>
  <c r="AG567" i="23"/>
  <c r="AE568" i="23"/>
  <c r="AG569" i="23"/>
  <c r="AG570" i="23" s="1"/>
  <c r="S572" i="23"/>
  <c r="J585" i="23"/>
  <c r="E585" i="23"/>
  <c r="I586" i="23"/>
  <c r="B586" i="23"/>
  <c r="C586" i="23"/>
  <c r="D586" i="23"/>
  <c r="D587" i="23" s="1"/>
  <c r="D588" i="23" s="1"/>
  <c r="D589" i="23" s="1"/>
  <c r="D590" i="23" s="1"/>
  <c r="D591" i="23" s="1"/>
  <c r="D592" i="23" s="1"/>
  <c r="D593" i="23" s="1"/>
  <c r="D594" i="23" s="1"/>
  <c r="D595" i="23" s="1"/>
  <c r="D596" i="23" s="1"/>
  <c r="J591" i="23"/>
  <c r="I592" i="23"/>
  <c r="J592" i="23"/>
  <c r="G593" i="23"/>
  <c r="H54" i="10"/>
  <c r="I593" i="23"/>
  <c r="I594" i="23"/>
  <c r="V585" i="23"/>
  <c r="Q585" i="23"/>
  <c r="U586" i="23"/>
  <c r="V586" i="23" s="1"/>
  <c r="U587" i="23"/>
  <c r="N586" i="23"/>
  <c r="O586" i="23"/>
  <c r="O587" i="23" s="1"/>
  <c r="O588" i="23" s="1"/>
  <c r="P586" i="23"/>
  <c r="P587" i="23" s="1"/>
  <c r="P588" i="23" s="1"/>
  <c r="P589" i="23" s="1"/>
  <c r="N587" i="23"/>
  <c r="N588" i="23" s="1"/>
  <c r="V591" i="23"/>
  <c r="U592" i="23"/>
  <c r="V592" i="23" s="1"/>
  <c r="S593" i="23"/>
  <c r="U594" i="23"/>
  <c r="U595" i="23"/>
  <c r="U596" i="23" s="1"/>
  <c r="V596" i="23" s="1"/>
  <c r="V594" i="23"/>
  <c r="A577" i="23"/>
  <c r="M577" i="23"/>
  <c r="Y577" i="23"/>
  <c r="A578" i="23"/>
  <c r="M578" i="23"/>
  <c r="Y578" i="23"/>
  <c r="AC585" i="23"/>
  <c r="AH585" i="23"/>
  <c r="Z586" i="23"/>
  <c r="AA586" i="23"/>
  <c r="AA587" i="23" s="1"/>
  <c r="AA588" i="23" s="1"/>
  <c r="AA589" i="23" s="1"/>
  <c r="AA590" i="23" s="1"/>
  <c r="AA591" i="23" s="1"/>
  <c r="AA592" i="23" s="1"/>
  <c r="AA593" i="23" s="1"/>
  <c r="AB586" i="23"/>
  <c r="AG586" i="23"/>
  <c r="Z587" i="23"/>
  <c r="AA594" i="23"/>
  <c r="AA595" i="23" s="1"/>
  <c r="AA596" i="23" s="1"/>
  <c r="AH591" i="23"/>
  <c r="AG592" i="23"/>
  <c r="AH592" i="23" s="1"/>
  <c r="AE593" i="23"/>
  <c r="AG594" i="23"/>
  <c r="AH594" i="23" s="1"/>
  <c r="G597" i="23"/>
  <c r="J610" i="23"/>
  <c r="K610" i="23" s="1"/>
  <c r="E610" i="23"/>
  <c r="I611" i="23"/>
  <c r="B611" i="23"/>
  <c r="C611" i="23"/>
  <c r="E611" i="23" s="1"/>
  <c r="D611" i="23"/>
  <c r="D612" i="23" s="1"/>
  <c r="B612" i="23"/>
  <c r="B613" i="23" s="1"/>
  <c r="D613" i="23"/>
  <c r="D614" i="23" s="1"/>
  <c r="D615" i="23"/>
  <c r="D616" i="23" s="1"/>
  <c r="D617" i="23" s="1"/>
  <c r="D618" i="23" s="1"/>
  <c r="D619" i="23" s="1"/>
  <c r="D620" i="23" s="1"/>
  <c r="D621" i="23" s="1"/>
  <c r="J616" i="23"/>
  <c r="I617" i="23"/>
  <c r="G618" i="23"/>
  <c r="I619" i="23"/>
  <c r="V610" i="23"/>
  <c r="Q610" i="23"/>
  <c r="U611" i="23"/>
  <c r="N611" i="23"/>
  <c r="O611" i="23"/>
  <c r="P611" i="23"/>
  <c r="P612" i="23" s="1"/>
  <c r="P613" i="23" s="1"/>
  <c r="P614" i="23" s="1"/>
  <c r="P615" i="23" s="1"/>
  <c r="P616" i="23" s="1"/>
  <c r="P617" i="23" s="1"/>
  <c r="P618" i="23" s="1"/>
  <c r="P619" i="23" s="1"/>
  <c r="P620" i="23" s="1"/>
  <c r="P621" i="23" s="1"/>
  <c r="O612" i="23"/>
  <c r="O613" i="23" s="1"/>
  <c r="O614" i="23" s="1"/>
  <c r="O615" i="23" s="1"/>
  <c r="O616" i="23" s="1"/>
  <c r="O617" i="23" s="1"/>
  <c r="O618" i="23"/>
  <c r="O619" i="23" s="1"/>
  <c r="O620" i="23" s="1"/>
  <c r="O621" i="23" s="1"/>
  <c r="V616" i="23"/>
  <c r="U617" i="23"/>
  <c r="U618" i="23" s="1"/>
  <c r="S618" i="23"/>
  <c r="S622" i="23" s="1"/>
  <c r="U619" i="23"/>
  <c r="A602" i="23"/>
  <c r="M602" i="23"/>
  <c r="Y602" i="23"/>
  <c r="A603" i="23"/>
  <c r="M603" i="23"/>
  <c r="Y603" i="23"/>
  <c r="AC610" i="23"/>
  <c r="AH610" i="23"/>
  <c r="AI610" i="23" s="1"/>
  <c r="Z611" i="23"/>
  <c r="AA611" i="23"/>
  <c r="AA612" i="23" s="1"/>
  <c r="AA613" i="23" s="1"/>
  <c r="AA614" i="23" s="1"/>
  <c r="AA615" i="23" s="1"/>
  <c r="AA616" i="23" s="1"/>
  <c r="AA617" i="23" s="1"/>
  <c r="AA618" i="23" s="1"/>
  <c r="AA619" i="23" s="1"/>
  <c r="AA620" i="23" s="1"/>
  <c r="AA621" i="23" s="1"/>
  <c r="AB611" i="23"/>
  <c r="AB612" i="23" s="1"/>
  <c r="AG611" i="23"/>
  <c r="AB613" i="23"/>
  <c r="AB614" i="23" s="1"/>
  <c r="AB615" i="23" s="1"/>
  <c r="AB616" i="23" s="1"/>
  <c r="AB617" i="23" s="1"/>
  <c r="AB618" i="23" s="1"/>
  <c r="AB619" i="23" s="1"/>
  <c r="AB620" i="23" s="1"/>
  <c r="AB621" i="23" s="1"/>
  <c r="AH616" i="23"/>
  <c r="AG617" i="23"/>
  <c r="AG618" i="23" s="1"/>
  <c r="AH617" i="23"/>
  <c r="AE618" i="23"/>
  <c r="AG619" i="23"/>
  <c r="AG620" i="23" s="1"/>
  <c r="AH620" i="23" s="1"/>
  <c r="J635" i="23"/>
  <c r="E635" i="23"/>
  <c r="I636" i="23"/>
  <c r="J636" i="23" s="1"/>
  <c r="B636" i="23"/>
  <c r="B637" i="23" s="1"/>
  <c r="C636" i="23"/>
  <c r="C637" i="23" s="1"/>
  <c r="D636" i="23"/>
  <c r="D637" i="23" s="1"/>
  <c r="D638" i="23" s="1"/>
  <c r="D639" i="23" s="1"/>
  <c r="D640" i="23" s="1"/>
  <c r="D641" i="23" s="1"/>
  <c r="D642" i="23" s="1"/>
  <c r="D643" i="23" s="1"/>
  <c r="D644" i="23" s="1"/>
  <c r="D645" i="23" s="1"/>
  <c r="D646" i="23" s="1"/>
  <c r="C638" i="23"/>
  <c r="C639" i="23" s="1"/>
  <c r="C640" i="23" s="1"/>
  <c r="C641" i="23" s="1"/>
  <c r="C642" i="23" s="1"/>
  <c r="C643" i="23" s="1"/>
  <c r="C644" i="23" s="1"/>
  <c r="C645" i="23" s="1"/>
  <c r="C646" i="23" s="1"/>
  <c r="J641" i="23"/>
  <c r="I642" i="23"/>
  <c r="J642" i="23" s="1"/>
  <c r="I643" i="23"/>
  <c r="G643" i="23"/>
  <c r="I644" i="23"/>
  <c r="J644" i="23" s="1"/>
  <c r="V635" i="23"/>
  <c r="W635" i="23" s="1"/>
  <c r="Q635" i="23"/>
  <c r="U636" i="23"/>
  <c r="N636" i="23"/>
  <c r="O636" i="23"/>
  <c r="O637" i="23" s="1"/>
  <c r="O638" i="23" s="1"/>
  <c r="O639" i="23" s="1"/>
  <c r="O640" i="23" s="1"/>
  <c r="O641" i="23" s="1"/>
  <c r="O642" i="23" s="1"/>
  <c r="O643" i="23" s="1"/>
  <c r="O644" i="23" s="1"/>
  <c r="O645" i="23" s="1"/>
  <c r="O646" i="23" s="1"/>
  <c r="P636" i="23"/>
  <c r="V641" i="23"/>
  <c r="U642" i="23"/>
  <c r="S643" i="23"/>
  <c r="U644" i="23"/>
  <c r="V644" i="23" s="1"/>
  <c r="A627" i="23"/>
  <c r="M627" i="23"/>
  <c r="Y627" i="23"/>
  <c r="A628" i="23"/>
  <c r="M628" i="23"/>
  <c r="Y628" i="23"/>
  <c r="AC635" i="23"/>
  <c r="AH635" i="23"/>
  <c r="AI635" i="23" s="1"/>
  <c r="Z636" i="23"/>
  <c r="Z637" i="23" s="1"/>
  <c r="AA636" i="23"/>
  <c r="AB636" i="23"/>
  <c r="AB637" i="23" s="1"/>
  <c r="AB638" i="23" s="1"/>
  <c r="AB639" i="23" s="1"/>
  <c r="AB640" i="23" s="1"/>
  <c r="AB641" i="23" s="1"/>
  <c r="AB642" i="23" s="1"/>
  <c r="AB643" i="23" s="1"/>
  <c r="AB644" i="23" s="1"/>
  <c r="AB645" i="23" s="1"/>
  <c r="AB646" i="23" s="1"/>
  <c r="AC636" i="23"/>
  <c r="AG636" i="23"/>
  <c r="AH636" i="23"/>
  <c r="AA637" i="23"/>
  <c r="AA638" i="23" s="1"/>
  <c r="AA639" i="23" s="1"/>
  <c r="AA640" i="23" s="1"/>
  <c r="AA641" i="23" s="1"/>
  <c r="AA642" i="23" s="1"/>
  <c r="AA643" i="23" s="1"/>
  <c r="AA644" i="23" s="1"/>
  <c r="AA645" i="23" s="1"/>
  <c r="AA646" i="23" s="1"/>
  <c r="AG637" i="23"/>
  <c r="AG638" i="23" s="1"/>
  <c r="AH641" i="23"/>
  <c r="AG642" i="23"/>
  <c r="AE643" i="23"/>
  <c r="AE647" i="23" s="1"/>
  <c r="AG644" i="23"/>
  <c r="AG645" i="23" s="1"/>
  <c r="J660" i="23"/>
  <c r="E660" i="23"/>
  <c r="I661" i="23"/>
  <c r="J661" i="23" s="1"/>
  <c r="B661" i="23"/>
  <c r="B662" i="23" s="1"/>
  <c r="B663" i="23" s="1"/>
  <c r="B664" i="23" s="1"/>
  <c r="B665" i="23" s="1"/>
  <c r="B666" i="23" s="1"/>
  <c r="C661" i="23"/>
  <c r="D661" i="23"/>
  <c r="D662" i="23" s="1"/>
  <c r="D663" i="23" s="1"/>
  <c r="D664" i="23" s="1"/>
  <c r="D665" i="23" s="1"/>
  <c r="D666" i="23" s="1"/>
  <c r="D667" i="23" s="1"/>
  <c r="D668" i="23" s="1"/>
  <c r="D669" i="23" s="1"/>
  <c r="D670" i="23" s="1"/>
  <c r="D671" i="23" s="1"/>
  <c r="I662" i="23"/>
  <c r="I663" i="23" s="1"/>
  <c r="I664" i="23" s="1"/>
  <c r="J664" i="23" s="1"/>
  <c r="J666" i="23"/>
  <c r="I667" i="23"/>
  <c r="J667" i="23"/>
  <c r="G668" i="23"/>
  <c r="I668" i="23"/>
  <c r="I669" i="23"/>
  <c r="I670" i="23" s="1"/>
  <c r="J669" i="23"/>
  <c r="V660" i="23"/>
  <c r="Q660" i="23"/>
  <c r="U661" i="23"/>
  <c r="V661" i="23"/>
  <c r="N661" i="23"/>
  <c r="O661" i="23"/>
  <c r="O662" i="23" s="1"/>
  <c r="O663" i="23" s="1"/>
  <c r="O664" i="23" s="1"/>
  <c r="O665" i="23" s="1"/>
  <c r="O666" i="23" s="1"/>
  <c r="O667" i="23" s="1"/>
  <c r="O668" i="23" s="1"/>
  <c r="O669" i="23" s="1"/>
  <c r="O670" i="23" s="1"/>
  <c r="O671" i="23" s="1"/>
  <c r="P661" i="23"/>
  <c r="U662" i="23"/>
  <c r="P662" i="23"/>
  <c r="P663" i="23"/>
  <c r="P664" i="23" s="1"/>
  <c r="P665" i="23" s="1"/>
  <c r="P666" i="23" s="1"/>
  <c r="P667" i="23" s="1"/>
  <c r="P668" i="23" s="1"/>
  <c r="P669" i="23" s="1"/>
  <c r="P670" i="23" s="1"/>
  <c r="P671" i="23" s="1"/>
  <c r="V666" i="23"/>
  <c r="U667" i="23"/>
  <c r="S668" i="23"/>
  <c r="S672" i="23" s="1"/>
  <c r="U669" i="23"/>
  <c r="A652" i="23"/>
  <c r="M652" i="23"/>
  <c r="Y652" i="23"/>
  <c r="A653" i="23"/>
  <c r="M653" i="23"/>
  <c r="Y653" i="23"/>
  <c r="AC660" i="23"/>
  <c r="AH660" i="23"/>
  <c r="Z661" i="23"/>
  <c r="Z662" i="23" s="1"/>
  <c r="AA661" i="23"/>
  <c r="AA662" i="23" s="1"/>
  <c r="AA663" i="23" s="1"/>
  <c r="AA664" i="23" s="1"/>
  <c r="AA665" i="23" s="1"/>
  <c r="AA666" i="23" s="1"/>
  <c r="AA667" i="23" s="1"/>
  <c r="AA668" i="23" s="1"/>
  <c r="AA669" i="23" s="1"/>
  <c r="AA670" i="23" s="1"/>
  <c r="AA671" i="23" s="1"/>
  <c r="AB661" i="23"/>
  <c r="AB662" i="23" s="1"/>
  <c r="AB663" i="23" s="1"/>
  <c r="AG661" i="23"/>
  <c r="AH666" i="23"/>
  <c r="AG667" i="23"/>
  <c r="AE668" i="23"/>
  <c r="AG669" i="23"/>
  <c r="AE672" i="23"/>
  <c r="J685" i="23"/>
  <c r="E685" i="23"/>
  <c r="K685" i="23" s="1"/>
  <c r="I686" i="23"/>
  <c r="B686" i="23"/>
  <c r="B687" i="23" s="1"/>
  <c r="B688" i="23" s="1"/>
  <c r="B689" i="23" s="1"/>
  <c r="B690" i="23" s="1"/>
  <c r="B691" i="23" s="1"/>
  <c r="B692" i="23" s="1"/>
  <c r="C686" i="23"/>
  <c r="D686" i="23"/>
  <c r="C687" i="23"/>
  <c r="C688" i="23" s="1"/>
  <c r="C689" i="23"/>
  <c r="C690" i="23" s="1"/>
  <c r="C691" i="23" s="1"/>
  <c r="C692" i="23" s="1"/>
  <c r="C693" i="23" s="1"/>
  <c r="C694" i="23" s="1"/>
  <c r="C695" i="23" s="1"/>
  <c r="C696" i="23" s="1"/>
  <c r="J691" i="23"/>
  <c r="I692" i="23"/>
  <c r="G693" i="23"/>
  <c r="G697" i="23" s="1"/>
  <c r="I694" i="23"/>
  <c r="V685" i="23"/>
  <c r="W685" i="23"/>
  <c r="Q685" i="23"/>
  <c r="U686" i="23"/>
  <c r="N686" i="23"/>
  <c r="O686" i="23"/>
  <c r="P686" i="23"/>
  <c r="P687" i="23" s="1"/>
  <c r="P688" i="23" s="1"/>
  <c r="P689" i="23" s="1"/>
  <c r="P690" i="23" s="1"/>
  <c r="P691" i="23" s="1"/>
  <c r="P692" i="23" s="1"/>
  <c r="P693" i="23" s="1"/>
  <c r="P694" i="23" s="1"/>
  <c r="P695" i="23" s="1"/>
  <c r="P696" i="23" s="1"/>
  <c r="N687" i="23"/>
  <c r="N688" i="23" s="1"/>
  <c r="N689" i="23" s="1"/>
  <c r="N690" i="23" s="1"/>
  <c r="N691" i="23" s="1"/>
  <c r="V691" i="23"/>
  <c r="U692" i="23"/>
  <c r="S693" i="23"/>
  <c r="U694" i="23"/>
  <c r="A677" i="23"/>
  <c r="M677" i="23"/>
  <c r="Y677" i="23"/>
  <c r="A678" i="23"/>
  <c r="M678" i="23"/>
  <c r="Y678" i="23"/>
  <c r="AC685" i="23"/>
  <c r="AH685" i="23"/>
  <c r="Z686" i="23"/>
  <c r="Z687" i="23" s="1"/>
  <c r="AA686" i="23"/>
  <c r="AB686" i="23"/>
  <c r="AB687" i="23" s="1"/>
  <c r="AG686" i="23"/>
  <c r="Z688" i="23"/>
  <c r="Z689" i="23" s="1"/>
  <c r="AA687" i="23"/>
  <c r="AA688" i="23" s="1"/>
  <c r="AA689" i="23" s="1"/>
  <c r="AH691" i="23"/>
  <c r="AG692" i="23"/>
  <c r="AH692" i="23" s="1"/>
  <c r="AE693" i="23"/>
  <c r="AG694" i="23"/>
  <c r="J710" i="23"/>
  <c r="E710" i="23"/>
  <c r="I711" i="23"/>
  <c r="J711" i="23"/>
  <c r="B711" i="23"/>
  <c r="C711" i="23"/>
  <c r="C712" i="23" s="1"/>
  <c r="C713" i="23" s="1"/>
  <c r="D711" i="23"/>
  <c r="D712" i="23" s="1"/>
  <c r="D713" i="23" s="1"/>
  <c r="D714" i="23" s="1"/>
  <c r="D715" i="23" s="1"/>
  <c r="D716" i="23" s="1"/>
  <c r="D717" i="23" s="1"/>
  <c r="D718" i="23" s="1"/>
  <c r="D719" i="23" s="1"/>
  <c r="D720" i="23" s="1"/>
  <c r="D721" i="23" s="1"/>
  <c r="I712" i="23"/>
  <c r="B712" i="23"/>
  <c r="J716" i="23"/>
  <c r="I717" i="23"/>
  <c r="G718" i="23"/>
  <c r="G722" i="23" s="1"/>
  <c r="I719" i="23"/>
  <c r="V710" i="23"/>
  <c r="Q710" i="23"/>
  <c r="U711" i="23"/>
  <c r="N711" i="23"/>
  <c r="O711" i="23"/>
  <c r="Q711" i="23" s="1"/>
  <c r="P711" i="23"/>
  <c r="P712" i="23" s="1"/>
  <c r="P713" i="23" s="1"/>
  <c r="P714" i="23" s="1"/>
  <c r="P715" i="23" s="1"/>
  <c r="P716" i="23" s="1"/>
  <c r="P717" i="23" s="1"/>
  <c r="P718" i="23" s="1"/>
  <c r="P719" i="23" s="1"/>
  <c r="P720" i="23" s="1"/>
  <c r="P721" i="23" s="1"/>
  <c r="V716" i="23"/>
  <c r="U717" i="23"/>
  <c r="U718" i="23" s="1"/>
  <c r="S718" i="23"/>
  <c r="S722" i="23" s="1"/>
  <c r="U719" i="23"/>
  <c r="A702" i="23"/>
  <c r="M702" i="23"/>
  <c r="Y702" i="23"/>
  <c r="A703" i="23"/>
  <c r="M703" i="23"/>
  <c r="Y703" i="23"/>
  <c r="AC710" i="23"/>
  <c r="AH710" i="23"/>
  <c r="Z711" i="23"/>
  <c r="Z712" i="23" s="1"/>
  <c r="Z713" i="23" s="1"/>
  <c r="AA711" i="23"/>
  <c r="AA712" i="23" s="1"/>
  <c r="AA713" i="23" s="1"/>
  <c r="AA714" i="23" s="1"/>
  <c r="AA715" i="23" s="1"/>
  <c r="AA716" i="23" s="1"/>
  <c r="AA717" i="23" s="1"/>
  <c r="AA718" i="23" s="1"/>
  <c r="AA719" i="23" s="1"/>
  <c r="AA720" i="23" s="1"/>
  <c r="AA721" i="23" s="1"/>
  <c r="AB711" i="23"/>
  <c r="AB712" i="23" s="1"/>
  <c r="AB713" i="23" s="1"/>
  <c r="AB714" i="23" s="1"/>
  <c r="AB715" i="23" s="1"/>
  <c r="AB716" i="23" s="1"/>
  <c r="AB717" i="23" s="1"/>
  <c r="AB718" i="23" s="1"/>
  <c r="AB719" i="23" s="1"/>
  <c r="AB720" i="23" s="1"/>
  <c r="AB721" i="23" s="1"/>
  <c r="AG711" i="23"/>
  <c r="AH716" i="23"/>
  <c r="AG717" i="23"/>
  <c r="AG718" i="23" s="1"/>
  <c r="AE718" i="23"/>
  <c r="AE722" i="23" s="1"/>
  <c r="AG719" i="23"/>
  <c r="AG720" i="23" s="1"/>
  <c r="A2" i="10"/>
  <c r="R37" i="10"/>
  <c r="S37" i="10"/>
  <c r="R36" i="10"/>
  <c r="S36" i="10"/>
  <c r="R30" i="10"/>
  <c r="S30" i="10"/>
  <c r="R19" i="10"/>
  <c r="S19" i="10"/>
  <c r="R18" i="10"/>
  <c r="S18" i="10"/>
  <c r="R17" i="10"/>
  <c r="S17" i="10"/>
  <c r="R16" i="10"/>
  <c r="S16" i="10"/>
  <c r="N33" i="10"/>
  <c r="N37" i="10"/>
  <c r="N17" i="10"/>
  <c r="N13" i="10"/>
  <c r="N35" i="10"/>
  <c r="N15" i="10"/>
  <c r="AB587" i="23"/>
  <c r="AB588" i="23" s="1"/>
  <c r="AB589" i="23" s="1"/>
  <c r="AB590" i="23" s="1"/>
  <c r="AB591" i="23" s="1"/>
  <c r="AB592" i="23" s="1"/>
  <c r="AB593" i="23" s="1"/>
  <c r="AB594" i="23" s="1"/>
  <c r="AB595" i="23" s="1"/>
  <c r="AB596" i="23" s="1"/>
  <c r="AC586" i="23"/>
  <c r="B587" i="23"/>
  <c r="I44" i="10"/>
  <c r="J485" i="23"/>
  <c r="I487" i="23"/>
  <c r="J487" i="23" s="1"/>
  <c r="AE323" i="23"/>
  <c r="H56" i="10"/>
  <c r="P388" i="23"/>
  <c r="I671" i="23"/>
  <c r="J671" i="23" s="1"/>
  <c r="J670" i="23"/>
  <c r="U637" i="23"/>
  <c r="U638" i="23" s="1"/>
  <c r="V638" i="23" s="1"/>
  <c r="V636" i="23"/>
  <c r="I537" i="23"/>
  <c r="J536" i="23"/>
  <c r="AG481" i="23"/>
  <c r="AH479" i="23"/>
  <c r="AG712" i="23"/>
  <c r="AH711" i="23"/>
  <c r="AG612" i="23"/>
  <c r="AH611" i="23"/>
  <c r="H64" i="10"/>
  <c r="S697" i="23"/>
  <c r="U645" i="23"/>
  <c r="P637" i="23"/>
  <c r="P638" i="23" s="1"/>
  <c r="P639" i="23" s="1"/>
  <c r="AI585" i="23"/>
  <c r="S597" i="23"/>
  <c r="C662" i="23"/>
  <c r="AG662" i="23"/>
  <c r="AG663" i="23" s="1"/>
  <c r="AH661" i="23"/>
  <c r="AI660" i="23"/>
  <c r="H58" i="10"/>
  <c r="M59" i="10" s="1"/>
  <c r="S647" i="23"/>
  <c r="E636" i="23"/>
  <c r="K636" i="23" s="1"/>
  <c r="Z588" i="23"/>
  <c r="AG562" i="23"/>
  <c r="H52" i="10"/>
  <c r="G572" i="23"/>
  <c r="N512" i="23"/>
  <c r="Q511" i="23"/>
  <c r="W510" i="23"/>
  <c r="AC475" i="23"/>
  <c r="Z477" i="23"/>
  <c r="AC477" i="23" s="1"/>
  <c r="V443" i="23"/>
  <c r="AB413" i="23"/>
  <c r="AC412" i="23"/>
  <c r="I394" i="23"/>
  <c r="J394" i="23"/>
  <c r="J393" i="23"/>
  <c r="H34" i="10"/>
  <c r="J34" i="10" s="1"/>
  <c r="G373" i="23"/>
  <c r="J369" i="23"/>
  <c r="N289" i="23"/>
  <c r="N290" i="23" s="1"/>
  <c r="J296" i="23"/>
  <c r="I297" i="23"/>
  <c r="J297" i="23" s="1"/>
  <c r="J288" i="23"/>
  <c r="I289" i="23"/>
  <c r="I290" i="23" s="1"/>
  <c r="I291" i="23" s="1"/>
  <c r="N662" i="23"/>
  <c r="Q662" i="23" s="1"/>
  <c r="I545" i="23"/>
  <c r="J544" i="23"/>
  <c r="AI411" i="23"/>
  <c r="S75" i="23"/>
  <c r="N712" i="23"/>
  <c r="N713" i="23" s="1"/>
  <c r="N612" i="23"/>
  <c r="U593" i="23"/>
  <c r="V593" i="23" s="1"/>
  <c r="H50" i="10"/>
  <c r="AH475" i="23"/>
  <c r="AE476" i="23"/>
  <c r="AH476" i="23" s="1"/>
  <c r="AG363" i="23"/>
  <c r="AH363" i="23" s="1"/>
  <c r="AH362" i="23"/>
  <c r="N363" i="23"/>
  <c r="AG294" i="23"/>
  <c r="AH294" i="23" s="1"/>
  <c r="AH293" i="23"/>
  <c r="AH719" i="23"/>
  <c r="J663" i="23"/>
  <c r="J662" i="23"/>
  <c r="AH619" i="23"/>
  <c r="N589" i="23"/>
  <c r="D537" i="23"/>
  <c r="D538" i="23" s="1"/>
  <c r="E511" i="23"/>
  <c r="B512" i="23"/>
  <c r="AH448" i="23"/>
  <c r="I371" i="23"/>
  <c r="B263" i="23"/>
  <c r="V245" i="23"/>
  <c r="I246" i="23"/>
  <c r="J245" i="23"/>
  <c r="AH220" i="23"/>
  <c r="W88" i="23"/>
  <c r="AC661" i="23"/>
  <c r="Z612" i="23"/>
  <c r="Z562" i="23"/>
  <c r="V544" i="23"/>
  <c r="U545" i="23"/>
  <c r="V545" i="23" s="1"/>
  <c r="Z513" i="23"/>
  <c r="Z514" i="23" s="1"/>
  <c r="Z515" i="23" s="1"/>
  <c r="Z516" i="23" s="1"/>
  <c r="Z517" i="23" s="1"/>
  <c r="AE478" i="23"/>
  <c r="AH478" i="23" s="1"/>
  <c r="AH480" i="23"/>
  <c r="AG482" i="23"/>
  <c r="N485" i="23"/>
  <c r="N487" i="23" s="1"/>
  <c r="H41" i="10"/>
  <c r="J41" i="10"/>
  <c r="H452" i="23"/>
  <c r="U396" i="23"/>
  <c r="U397" i="23" s="1"/>
  <c r="V395" i="23"/>
  <c r="U388" i="23"/>
  <c r="V388" i="23" s="1"/>
  <c r="V387" i="23"/>
  <c r="I346" i="23"/>
  <c r="I347" i="23" s="1"/>
  <c r="J347" i="23" s="1"/>
  <c r="J345" i="23"/>
  <c r="Z415" i="23"/>
  <c r="Q412" i="23"/>
  <c r="W412" i="23" s="1"/>
  <c r="O413" i="23"/>
  <c r="V343" i="23"/>
  <c r="U344" i="23"/>
  <c r="N339" i="23"/>
  <c r="G248" i="23"/>
  <c r="J218" i="23"/>
  <c r="K186" i="23"/>
  <c r="W38" i="23"/>
  <c r="W735" i="23"/>
  <c r="U421" i="23"/>
  <c r="V420" i="23"/>
  <c r="E412" i="23"/>
  <c r="K412" i="23" s="1"/>
  <c r="C413" i="23"/>
  <c r="C414" i="23" s="1"/>
  <c r="H36" i="10"/>
  <c r="V394" i="23"/>
  <c r="S398" i="23"/>
  <c r="B388" i="23"/>
  <c r="B389" i="23" s="1"/>
  <c r="B390" i="23" s="1"/>
  <c r="B391" i="23" s="1"/>
  <c r="B392" i="23" s="1"/>
  <c r="Z313" i="23"/>
  <c r="W261" i="23"/>
  <c r="B239" i="23"/>
  <c r="J118" i="23"/>
  <c r="I123" i="23"/>
  <c r="I163" i="23"/>
  <c r="J163" i="23" s="1"/>
  <c r="M55" i="10"/>
  <c r="J54" i="10"/>
  <c r="V488" i="23"/>
  <c r="S476" i="23"/>
  <c r="S441" i="23"/>
  <c r="V441" i="23" s="1"/>
  <c r="J450" i="23"/>
  <c r="I452" i="23"/>
  <c r="J452" i="23" s="1"/>
  <c r="J414" i="23"/>
  <c r="J413" i="23"/>
  <c r="AH370" i="23"/>
  <c r="E362" i="23"/>
  <c r="K362" i="23"/>
  <c r="C363" i="23"/>
  <c r="Z340" i="23"/>
  <c r="AA338" i="23"/>
  <c r="AA339" i="23" s="1"/>
  <c r="AA340" i="23" s="1"/>
  <c r="AC337" i="23"/>
  <c r="B339" i="23"/>
  <c r="Z264" i="23"/>
  <c r="Z265" i="23" s="1"/>
  <c r="Z266" i="23" s="1"/>
  <c r="Z267" i="23" s="1"/>
  <c r="AG239" i="23"/>
  <c r="U221" i="23"/>
  <c r="N213" i="23"/>
  <c r="J220" i="23"/>
  <c r="I221" i="23"/>
  <c r="J221" i="23" s="1"/>
  <c r="W186" i="23"/>
  <c r="AH123" i="23"/>
  <c r="AG168" i="23"/>
  <c r="AH168" i="23" s="1"/>
  <c r="AG128" i="23"/>
  <c r="AG133" i="23" s="1"/>
  <c r="AG138" i="23" s="1"/>
  <c r="AH138" i="23" s="1"/>
  <c r="B562" i="23"/>
  <c r="AC536" i="23"/>
  <c r="AA537" i="23"/>
  <c r="O537" i="23"/>
  <c r="O538" i="23" s="1"/>
  <c r="O539" i="23" s="1"/>
  <c r="O540" i="23" s="1"/>
  <c r="O541" i="23" s="1"/>
  <c r="O542" i="23" s="1"/>
  <c r="O543" i="23" s="1"/>
  <c r="O544" i="23" s="1"/>
  <c r="O545" i="23" s="1"/>
  <c r="AE474" i="23"/>
  <c r="O477" i="23"/>
  <c r="O479" i="23" s="1"/>
  <c r="H483" i="23"/>
  <c r="Q438" i="23"/>
  <c r="N440" i="23"/>
  <c r="N442" i="23" s="1"/>
  <c r="N444" i="23" s="1"/>
  <c r="U347" i="23"/>
  <c r="V347" i="23" s="1"/>
  <c r="V346" i="23"/>
  <c r="Q337" i="23"/>
  <c r="N188" i="23"/>
  <c r="Q187" i="23"/>
  <c r="U99" i="23"/>
  <c r="V99" i="23" s="1"/>
  <c r="V98" i="23"/>
  <c r="U451" i="23"/>
  <c r="V451" i="23" s="1"/>
  <c r="J313" i="23"/>
  <c r="AI286" i="23"/>
  <c r="V293" i="23"/>
  <c r="U269" i="23"/>
  <c r="V269" i="23" s="1"/>
  <c r="AG244" i="23"/>
  <c r="AH244" i="23" s="1"/>
  <c r="E237" i="23"/>
  <c r="J237" i="23"/>
  <c r="B214" i="23"/>
  <c r="E214" i="23" s="1"/>
  <c r="AG196" i="23"/>
  <c r="AE75" i="23"/>
  <c r="AH71" i="23"/>
  <c r="J48" i="10"/>
  <c r="M49" i="10"/>
  <c r="AI311" i="23"/>
  <c r="Q312" i="23"/>
  <c r="N313" i="23"/>
  <c r="N314" i="23" s="1"/>
  <c r="N315" i="23" s="1"/>
  <c r="N316" i="23" s="1"/>
  <c r="AG169" i="23"/>
  <c r="AH169" i="23" s="1"/>
  <c r="AH124" i="23"/>
  <c r="AG129" i="23"/>
  <c r="AG134" i="23" s="1"/>
  <c r="AG139" i="23" s="1"/>
  <c r="V125" i="23"/>
  <c r="U130" i="23"/>
  <c r="U135" i="23" s="1"/>
  <c r="U140" i="23" s="1"/>
  <c r="V140" i="23" s="1"/>
  <c r="U170" i="23"/>
  <c r="V170" i="23" s="1"/>
  <c r="Q123" i="23"/>
  <c r="N128" i="23"/>
  <c r="H20" i="10"/>
  <c r="J194" i="23"/>
  <c r="G198" i="23"/>
  <c r="AG166" i="23"/>
  <c r="AH166" i="23" s="1"/>
  <c r="AG126" i="23"/>
  <c r="AG131" i="23" s="1"/>
  <c r="AH131" i="23" s="1"/>
  <c r="U155" i="23"/>
  <c r="V155" i="23" s="1"/>
  <c r="V150" i="23"/>
  <c r="G100" i="23"/>
  <c r="AC64" i="23"/>
  <c r="Z65" i="23"/>
  <c r="AG40" i="23"/>
  <c r="AH40" i="23" s="1"/>
  <c r="J28" i="10"/>
  <c r="M29" i="10"/>
  <c r="AH756" i="23"/>
  <c r="AG758" i="23"/>
  <c r="Z288" i="23"/>
  <c r="Z238" i="23"/>
  <c r="Z239" i="23" s="1"/>
  <c r="Z240" i="23" s="1"/>
  <c r="Z241" i="23" s="1"/>
  <c r="N238" i="23"/>
  <c r="N239" i="23" s="1"/>
  <c r="N240" i="23" s="1"/>
  <c r="N241" i="23" s="1"/>
  <c r="N242" i="23" s="1"/>
  <c r="N243" i="23" s="1"/>
  <c r="V196" i="23"/>
  <c r="U197" i="23"/>
  <c r="V197" i="23" s="1"/>
  <c r="AH127" i="23"/>
  <c r="AG172" i="23"/>
  <c r="AH172" i="23" s="1"/>
  <c r="AG132" i="23"/>
  <c r="AG137" i="23" s="1"/>
  <c r="AH137" i="23" s="1"/>
  <c r="AC123" i="23"/>
  <c r="Z128" i="23"/>
  <c r="AC128" i="23" s="1"/>
  <c r="AH120" i="23"/>
  <c r="AG165" i="23"/>
  <c r="AH165" i="23" s="1"/>
  <c r="AG125" i="23"/>
  <c r="AH125" i="23" s="1"/>
  <c r="V149" i="23"/>
  <c r="U154" i="23"/>
  <c r="V154" i="23" s="1"/>
  <c r="O15" i="23"/>
  <c r="O16" i="23" s="1"/>
  <c r="O17" i="23" s="1"/>
  <c r="O18" i="23" s="1"/>
  <c r="O19" i="23" s="1"/>
  <c r="O20" i="23" s="1"/>
  <c r="O21" i="23" s="1"/>
  <c r="O22" i="23" s="1"/>
  <c r="O23" i="23" s="1"/>
  <c r="O24" i="23" s="1"/>
  <c r="M39" i="10"/>
  <c r="J39" i="10"/>
  <c r="E187" i="23"/>
  <c r="B188" i="23"/>
  <c r="AG164" i="23"/>
  <c r="AH164" i="23" s="1"/>
  <c r="AH119" i="23"/>
  <c r="AI118" i="23" s="1"/>
  <c r="AC118" i="23"/>
  <c r="U153" i="23"/>
  <c r="V153" i="23" s="1"/>
  <c r="I125" i="23"/>
  <c r="V96" i="23"/>
  <c r="Q90" i="23"/>
  <c r="N91" i="23"/>
  <c r="B90" i="23"/>
  <c r="AH23" i="23"/>
  <c r="AG24" i="23"/>
  <c r="AH24" i="23" s="1"/>
  <c r="Z16" i="23"/>
  <c r="J12" i="10"/>
  <c r="O13" i="10"/>
  <c r="M13" i="10"/>
  <c r="C745" i="23"/>
  <c r="C747" i="23" s="1"/>
  <c r="C750" i="23" s="1"/>
  <c r="C753" i="23" s="1"/>
  <c r="C756" i="23" s="1"/>
  <c r="C758" i="23" s="1"/>
  <c r="C760" i="23" s="1"/>
  <c r="AH122" i="23"/>
  <c r="AG167" i="23"/>
  <c r="AH167" i="23" s="1"/>
  <c r="AH118" i="23"/>
  <c r="AG163" i="23"/>
  <c r="AH163" i="23" s="1"/>
  <c r="V151" i="23"/>
  <c r="I124" i="23"/>
  <c r="I169" i="23" s="1"/>
  <c r="J169" i="23" s="1"/>
  <c r="I164" i="23"/>
  <c r="J164" i="23" s="1"/>
  <c r="J119" i="23"/>
  <c r="B123" i="23"/>
  <c r="AH90" i="23"/>
  <c r="AG91" i="23"/>
  <c r="AH91" i="23" s="1"/>
  <c r="I98" i="23"/>
  <c r="I99" i="23" s="1"/>
  <c r="J99" i="23" s="1"/>
  <c r="J97" i="23"/>
  <c r="I90" i="23"/>
  <c r="J90" i="23" s="1"/>
  <c r="AH72" i="23"/>
  <c r="AG73" i="23"/>
  <c r="AH73" i="23" s="1"/>
  <c r="I74" i="23"/>
  <c r="J74" i="23" s="1"/>
  <c r="C40" i="23"/>
  <c r="C41" i="23" s="1"/>
  <c r="E39" i="23"/>
  <c r="AH739" i="23"/>
  <c r="AG741" i="23"/>
  <c r="AH741" i="23" s="1"/>
  <c r="AH64" i="23"/>
  <c r="AG65" i="23"/>
  <c r="AH65" i="23" s="1"/>
  <c r="AI63" i="23"/>
  <c r="N65" i="23"/>
  <c r="B66" i="23"/>
  <c r="J15" i="23"/>
  <c r="I16" i="23"/>
  <c r="J29" i="10"/>
  <c r="N29" i="10"/>
  <c r="U73" i="23"/>
  <c r="U74" i="23" s="1"/>
  <c r="V74" i="23" s="1"/>
  <c r="V72" i="23"/>
  <c r="U65" i="23"/>
  <c r="V65" i="23" s="1"/>
  <c r="V64" i="23"/>
  <c r="N41" i="23"/>
  <c r="J45" i="23"/>
  <c r="V20" i="23"/>
  <c r="U21" i="23"/>
  <c r="U48" i="23"/>
  <c r="V47" i="23"/>
  <c r="I48" i="23"/>
  <c r="I49" i="23" s="1"/>
  <c r="J47" i="23"/>
  <c r="AC39" i="23"/>
  <c r="Z40" i="23"/>
  <c r="M19" i="10"/>
  <c r="H762" i="23"/>
  <c r="AF762" i="23"/>
  <c r="K735" i="23"/>
  <c r="E15" i="23"/>
  <c r="B16" i="23"/>
  <c r="E16" i="23" s="1"/>
  <c r="Z743" i="23"/>
  <c r="AC741" i="23"/>
  <c r="V738" i="23"/>
  <c r="U740" i="23"/>
  <c r="V740" i="23" s="1"/>
  <c r="AC739" i="23"/>
  <c r="J738" i="23"/>
  <c r="I740" i="23"/>
  <c r="J740" i="23" s="1"/>
  <c r="N741" i="23"/>
  <c r="N743" i="23" s="1"/>
  <c r="N745" i="23" s="1"/>
  <c r="N747" i="23" s="1"/>
  <c r="N750" i="23" s="1"/>
  <c r="M69" i="10"/>
  <c r="AG92" i="23"/>
  <c r="AH92" i="23" s="1"/>
  <c r="I170" i="23"/>
  <c r="J170" i="23" s="1"/>
  <c r="Z66" i="23"/>
  <c r="Z67" i="23" s="1"/>
  <c r="AH129" i="23"/>
  <c r="C364" i="23"/>
  <c r="C365" i="23" s="1"/>
  <c r="C366" i="23" s="1"/>
  <c r="C367" i="23" s="1"/>
  <c r="C368" i="23" s="1"/>
  <c r="C369" i="23" s="1"/>
  <c r="C370" i="23" s="1"/>
  <c r="C371" i="23" s="1"/>
  <c r="C372" i="23" s="1"/>
  <c r="E363" i="23"/>
  <c r="V476" i="23"/>
  <c r="U389" i="23"/>
  <c r="U390" i="23" s="1"/>
  <c r="J52" i="10"/>
  <c r="M53" i="10"/>
  <c r="V73" i="23"/>
  <c r="B67" i="23"/>
  <c r="AG743" i="23"/>
  <c r="AH743" i="23" s="1"/>
  <c r="J98" i="23"/>
  <c r="Z289" i="23"/>
  <c r="Z314" i="23"/>
  <c r="Z416" i="23"/>
  <c r="Z417" i="23" s="1"/>
  <c r="Z418" i="23" s="1"/>
  <c r="Z419" i="23" s="1"/>
  <c r="J289" i="23"/>
  <c r="N513" i="23"/>
  <c r="AH662" i="23"/>
  <c r="C663" i="23"/>
  <c r="C664" i="23" s="1"/>
  <c r="V637" i="23"/>
  <c r="I742" i="23"/>
  <c r="J742" i="23" s="1"/>
  <c r="J48" i="23"/>
  <c r="J49" i="23"/>
  <c r="U66" i="23"/>
  <c r="I91" i="23"/>
  <c r="J91" i="23" s="1"/>
  <c r="N92" i="23"/>
  <c r="N93" i="23" s="1"/>
  <c r="N94" i="23" s="1"/>
  <c r="N95" i="23" s="1"/>
  <c r="N96" i="23" s="1"/>
  <c r="E313" i="23"/>
  <c r="V130" i="23"/>
  <c r="O339" i="23"/>
  <c r="O340" i="23" s="1"/>
  <c r="V397" i="23"/>
  <c r="AG222" i="23"/>
  <c r="AH222" i="23" s="1"/>
  <c r="AH221" i="23"/>
  <c r="U247" i="23"/>
  <c r="V247" i="23" s="1"/>
  <c r="AG452" i="23"/>
  <c r="AH452" i="23" s="1"/>
  <c r="AH450" i="23"/>
  <c r="M35" i="10"/>
  <c r="Z745" i="23"/>
  <c r="Z747" i="23" s="1"/>
  <c r="AC743" i="23"/>
  <c r="B17" i="23"/>
  <c r="B18" i="23" s="1"/>
  <c r="AG66" i="23"/>
  <c r="AH66" i="23" s="1"/>
  <c r="Z92" i="23"/>
  <c r="Z93" i="23" s="1"/>
  <c r="Z94" i="23" s="1"/>
  <c r="Z95" i="23" s="1"/>
  <c r="B340" i="23"/>
  <c r="Z341" i="23"/>
  <c r="D539" i="23"/>
  <c r="D540" i="23" s="1"/>
  <c r="D541" i="23" s="1"/>
  <c r="D542" i="23" s="1"/>
  <c r="D543" i="23" s="1"/>
  <c r="D544" i="23" s="1"/>
  <c r="D545" i="23" s="1"/>
  <c r="D546" i="23" s="1"/>
  <c r="B638" i="23"/>
  <c r="P389" i="23"/>
  <c r="U453" i="23"/>
  <c r="V453" i="23" s="1"/>
  <c r="Q537" i="23"/>
  <c r="AH239" i="23"/>
  <c r="AG240" i="23"/>
  <c r="J36" i="10"/>
  <c r="M37" i="10"/>
  <c r="U546" i="23"/>
  <c r="V546" i="23" s="1"/>
  <c r="E512" i="23"/>
  <c r="B513" i="23"/>
  <c r="B514" i="23" s="1"/>
  <c r="AG364" i="23"/>
  <c r="AG365" i="23" s="1"/>
  <c r="AI412" i="23"/>
  <c r="U447" i="23"/>
  <c r="V447" i="23" s="1"/>
  <c r="Z479" i="23"/>
  <c r="AG613" i="23"/>
  <c r="AH612" i="23"/>
  <c r="B588" i="23"/>
  <c r="AA538" i="23"/>
  <c r="N214" i="23"/>
  <c r="AC338" i="23"/>
  <c r="J123" i="23"/>
  <c r="U422" i="23"/>
  <c r="V422" i="23" s="1"/>
  <c r="V421" i="23"/>
  <c r="Z563" i="23"/>
  <c r="Z663" i="23"/>
  <c r="Z664" i="23" s="1"/>
  <c r="Z665" i="23" s="1"/>
  <c r="Z666" i="23" s="1"/>
  <c r="Z667" i="23" s="1"/>
  <c r="N590" i="23"/>
  <c r="I546" i="23"/>
  <c r="J546" i="23" s="1"/>
  <c r="J545" i="23"/>
  <c r="I538" i="23"/>
  <c r="J537" i="23"/>
  <c r="Z690" i="23"/>
  <c r="I489" i="23"/>
  <c r="O35" i="10"/>
  <c r="AG241" i="23"/>
  <c r="AH241" i="23" s="1"/>
  <c r="AH240" i="23"/>
  <c r="B341" i="23"/>
  <c r="B342" i="23" s="1"/>
  <c r="AH663" i="23"/>
  <c r="AG664" i="23"/>
  <c r="N291" i="23"/>
  <c r="N292" i="23" s="1"/>
  <c r="AH134" i="23"/>
  <c r="AH139" i="23"/>
  <c r="AC339" i="23"/>
  <c r="AH364" i="23"/>
  <c r="B68" i="23"/>
  <c r="AG93" i="23"/>
  <c r="AH93" i="23" s="1"/>
  <c r="Z564" i="23"/>
  <c r="Z565" i="23" s="1"/>
  <c r="Z566" i="23" s="1"/>
  <c r="Z567" i="23" s="1"/>
  <c r="Z568" i="23" s="1"/>
  <c r="O481" i="23"/>
  <c r="E513" i="23"/>
  <c r="AA539" i="23"/>
  <c r="AA540" i="23" s="1"/>
  <c r="AA541" i="23" s="1"/>
  <c r="AA542" i="23" s="1"/>
  <c r="AA543" i="23" s="1"/>
  <c r="AA544" i="23" s="1"/>
  <c r="AA545" i="23" s="1"/>
  <c r="AA546" i="23" s="1"/>
  <c r="U455" i="23"/>
  <c r="I92" i="23"/>
  <c r="J92" i="23" s="1"/>
  <c r="U639" i="23"/>
  <c r="AG142" i="23"/>
  <c r="AH142" i="23" s="1"/>
  <c r="AH133" i="23"/>
  <c r="I744" i="23"/>
  <c r="I746" i="23" s="1"/>
  <c r="J746" i="23" s="1"/>
  <c r="J291" i="23"/>
  <c r="J290" i="23"/>
  <c r="E17" i="23"/>
  <c r="V135" i="23"/>
  <c r="N489" i="23"/>
  <c r="N491" i="23" s="1"/>
  <c r="N493" i="23" s="1"/>
  <c r="N495" i="23" s="1"/>
  <c r="B667" i="23"/>
  <c r="B668" i="23" s="1"/>
  <c r="B669" i="23" s="1"/>
  <c r="J744" i="23"/>
  <c r="Z68" i="23"/>
  <c r="E514" i="23"/>
  <c r="B515" i="23"/>
  <c r="B292" i="23"/>
  <c r="N446" i="23"/>
  <c r="B516" i="23"/>
  <c r="E516" i="23" s="1"/>
  <c r="K516" i="23" s="1"/>
  <c r="I749" i="23"/>
  <c r="J749" i="23" s="1"/>
  <c r="N448" i="23"/>
  <c r="B517" i="23"/>
  <c r="Z96" i="23"/>
  <c r="Z97" i="23" s="1"/>
  <c r="Z98" i="23"/>
  <c r="O546" i="23"/>
  <c r="AC713" i="23" l="1"/>
  <c r="Z714" i="23"/>
  <c r="AH717" i="23"/>
  <c r="V717" i="23"/>
  <c r="E711" i="23"/>
  <c r="K711" i="23" s="1"/>
  <c r="AI685" i="23"/>
  <c r="O712" i="23"/>
  <c r="O713" i="23" s="1"/>
  <c r="O714" i="23" s="1"/>
  <c r="O715" i="23" s="1"/>
  <c r="O716" i="23" s="1"/>
  <c r="O717" i="23" s="1"/>
  <c r="O718" i="23" s="1"/>
  <c r="O719" i="23" s="1"/>
  <c r="O720" i="23" s="1"/>
  <c r="O721" i="23" s="1"/>
  <c r="U695" i="23"/>
  <c r="V694" i="23"/>
  <c r="U687" i="23"/>
  <c r="V686" i="23"/>
  <c r="U668" i="23"/>
  <c r="V667" i="23"/>
  <c r="U742" i="23"/>
  <c r="V389" i="23"/>
  <c r="B215" i="23"/>
  <c r="Z133" i="23"/>
  <c r="AC133" i="23" s="1"/>
  <c r="AI710" i="23"/>
  <c r="AG693" i="23"/>
  <c r="U693" i="23"/>
  <c r="V693" i="23" s="1"/>
  <c r="V692" i="23"/>
  <c r="V669" i="23"/>
  <c r="U670" i="23"/>
  <c r="AG646" i="23"/>
  <c r="AH646" i="23" s="1"/>
  <c r="AH645" i="23"/>
  <c r="AH638" i="23"/>
  <c r="AG639" i="23"/>
  <c r="I665" i="23"/>
  <c r="J665" i="23" s="1"/>
  <c r="AH644" i="23"/>
  <c r="AH637" i="23"/>
  <c r="V617" i="23"/>
  <c r="AG593" i="23"/>
  <c r="K560" i="23"/>
  <c r="AI535" i="23"/>
  <c r="W535" i="23"/>
  <c r="K535" i="23"/>
  <c r="U518" i="23"/>
  <c r="AG489" i="23"/>
  <c r="AH489" i="23" s="1"/>
  <c r="AI477" i="23"/>
  <c r="S497" i="23"/>
  <c r="V473" i="23"/>
  <c r="W473" i="23" s="1"/>
  <c r="AH449" i="23"/>
  <c r="AH441" i="23"/>
  <c r="AG421" i="23"/>
  <c r="AH421" i="23" s="1"/>
  <c r="U413" i="23"/>
  <c r="U414" i="23" s="1"/>
  <c r="AH387" i="23"/>
  <c r="AH368" i="23"/>
  <c r="P363" i="23"/>
  <c r="P364" i="23" s="1"/>
  <c r="P365" i="23" s="1"/>
  <c r="P366" i="23" s="1"/>
  <c r="P367" i="23" s="1"/>
  <c r="P368" i="23" s="1"/>
  <c r="P369" i="23" s="1"/>
  <c r="P370" i="23" s="1"/>
  <c r="P371" i="23" s="1"/>
  <c r="P372" i="23" s="1"/>
  <c r="I363" i="23"/>
  <c r="AC287" i="23"/>
  <c r="AH262" i="23"/>
  <c r="K236" i="23"/>
  <c r="U219" i="23"/>
  <c r="V219" i="23" s="1"/>
  <c r="J193" i="23"/>
  <c r="AG154" i="23"/>
  <c r="AH154" i="23" s="1"/>
  <c r="U123" i="23"/>
  <c r="U128" i="23" s="1"/>
  <c r="I158" i="23"/>
  <c r="J158" i="23" s="1"/>
  <c r="V97" i="23"/>
  <c r="E89" i="23"/>
  <c r="AH70" i="23"/>
  <c r="J72" i="23"/>
  <c r="AI38" i="23"/>
  <c r="AC15" i="23"/>
  <c r="AI15" i="23" s="1"/>
  <c r="J17" i="10"/>
  <c r="AI13" i="23"/>
  <c r="F22" i="10"/>
  <c r="J63" i="10"/>
  <c r="J55" i="10"/>
  <c r="J33" i="10"/>
  <c r="J27" i="10"/>
  <c r="J15" i="10"/>
  <c r="I645" i="23"/>
  <c r="I637" i="23"/>
  <c r="AG621" i="23"/>
  <c r="AH621" i="23" s="1"/>
  <c r="AG595" i="23"/>
  <c r="J593" i="23"/>
  <c r="U562" i="23"/>
  <c r="AH542" i="23"/>
  <c r="U520" i="23"/>
  <c r="U513" i="23"/>
  <c r="W286" i="23"/>
  <c r="E213" i="23"/>
  <c r="E212" i="23"/>
  <c r="K211" i="23"/>
  <c r="AC187" i="23"/>
  <c r="AI187" i="23" s="1"/>
  <c r="I121" i="23"/>
  <c r="J115" i="23"/>
  <c r="AI88" i="23"/>
  <c r="F50" i="10"/>
  <c r="J61" i="10"/>
  <c r="J31" i="10"/>
  <c r="U741" i="23"/>
  <c r="I568" i="23"/>
  <c r="J568" i="23" s="1"/>
  <c r="V490" i="23"/>
  <c r="U450" i="23"/>
  <c r="AG413" i="23"/>
  <c r="AH413" i="23" s="1"/>
  <c r="W386" i="23"/>
  <c r="AI361" i="23"/>
  <c r="I338" i="23"/>
  <c r="U321" i="23"/>
  <c r="K261" i="23"/>
  <c r="AH212" i="23"/>
  <c r="I213" i="23"/>
  <c r="Q40" i="23"/>
  <c r="J58" i="10"/>
  <c r="Z17" i="23"/>
  <c r="Z18" i="23" s="1"/>
  <c r="AC16" i="23"/>
  <c r="B563" i="23"/>
  <c r="N415" i="23"/>
  <c r="U214" i="23"/>
  <c r="U215" i="23" s="1"/>
  <c r="V213" i="23"/>
  <c r="AH738" i="23"/>
  <c r="AG740" i="23"/>
  <c r="AC712" i="23"/>
  <c r="N66" i="23"/>
  <c r="N67" i="23" s="1"/>
  <c r="N68" i="23" s="1"/>
  <c r="AA341" i="23"/>
  <c r="AA342" i="23" s="1"/>
  <c r="AA343" i="23" s="1"/>
  <c r="AA344" i="23" s="1"/>
  <c r="AA345" i="23" s="1"/>
  <c r="AA346" i="23" s="1"/>
  <c r="AA347" i="23" s="1"/>
  <c r="AC340" i="23"/>
  <c r="E414" i="23"/>
  <c r="K414" i="23" s="1"/>
  <c r="I713" i="23"/>
  <c r="J712" i="23"/>
  <c r="G478" i="23"/>
  <c r="B477" i="23"/>
  <c r="E475" i="23"/>
  <c r="H26" i="10"/>
  <c r="G273" i="23"/>
  <c r="J269" i="23"/>
  <c r="I17" i="23"/>
  <c r="J16" i="23"/>
  <c r="K16" i="23" s="1"/>
  <c r="Z242" i="23"/>
  <c r="Q339" i="23"/>
  <c r="N340" i="23"/>
  <c r="N341" i="23" s="1"/>
  <c r="N342" i="23" s="1"/>
  <c r="N343" i="23" s="1"/>
  <c r="N344" i="23" s="1"/>
  <c r="N345" i="23" s="1"/>
  <c r="N346" i="23" s="1"/>
  <c r="N347" i="23" s="1"/>
  <c r="AH482" i="23"/>
  <c r="AG484" i="23"/>
  <c r="AG414" i="23"/>
  <c r="AA313" i="23"/>
  <c r="AC312" i="23"/>
  <c r="P316" i="23"/>
  <c r="Q315" i="23"/>
  <c r="G323" i="23"/>
  <c r="H30" i="10"/>
  <c r="E314" i="23"/>
  <c r="B315" i="23"/>
  <c r="I294" i="23"/>
  <c r="J294" i="23" s="1"/>
  <c r="J298" i="23" s="1"/>
  <c r="J293" i="23"/>
  <c r="U240" i="23"/>
  <c r="V239" i="23"/>
  <c r="C66" i="23"/>
  <c r="E65" i="23"/>
  <c r="Z518" i="23"/>
  <c r="AH686" i="23"/>
  <c r="AG687" i="23"/>
  <c r="G437" i="23"/>
  <c r="J437" i="23" s="1"/>
  <c r="J436" i="23"/>
  <c r="H42" i="10"/>
  <c r="J42" i="10" s="1"/>
  <c r="J213" i="23"/>
  <c r="I214" i="23"/>
  <c r="Z189" i="23"/>
  <c r="AC188" i="23"/>
  <c r="V22" i="23"/>
  <c r="U23" i="23"/>
  <c r="N15" i="23"/>
  <c r="N16" i="23" s="1"/>
  <c r="Q14" i="23"/>
  <c r="Z138" i="23"/>
  <c r="E18" i="23"/>
  <c r="B19" i="23"/>
  <c r="Q340" i="23"/>
  <c r="V128" i="23"/>
  <c r="U133" i="23"/>
  <c r="AH694" i="23"/>
  <c r="AG695" i="23"/>
  <c r="AB688" i="23"/>
  <c r="AC687" i="23"/>
  <c r="AH667" i="23"/>
  <c r="AG668" i="23"/>
  <c r="AH668" i="23" s="1"/>
  <c r="U477" i="23"/>
  <c r="V475" i="23"/>
  <c r="AG246" i="23"/>
  <c r="AH245" i="23"/>
  <c r="AA238" i="23"/>
  <c r="AC237" i="23"/>
  <c r="AI237" i="23" s="1"/>
  <c r="V45" i="23"/>
  <c r="U46" i="23"/>
  <c r="V46" i="23" s="1"/>
  <c r="N317" i="23"/>
  <c r="AG136" i="23"/>
  <c r="U640" i="23"/>
  <c r="V640" i="23" s="1"/>
  <c r="V639" i="23"/>
  <c r="AG74" i="23"/>
  <c r="AH74" i="23" s="1"/>
  <c r="N514" i="23"/>
  <c r="J125" i="23"/>
  <c r="I130" i="23"/>
  <c r="AG563" i="23"/>
  <c r="AH562" i="23"/>
  <c r="D687" i="23"/>
  <c r="D688" i="23" s="1"/>
  <c r="E686" i="23"/>
  <c r="AG670" i="23"/>
  <c r="AH669" i="23"/>
  <c r="V520" i="23"/>
  <c r="U521" i="23"/>
  <c r="V521" i="23" s="1"/>
  <c r="O513" i="23"/>
  <c r="O514" i="23" s="1"/>
  <c r="O515" i="23" s="1"/>
  <c r="O516" i="23" s="1"/>
  <c r="O517" i="23" s="1"/>
  <c r="O518" i="23" s="1"/>
  <c r="O519" i="23" s="1"/>
  <c r="O520" i="23" s="1"/>
  <c r="O521" i="23" s="1"/>
  <c r="Q512" i="23"/>
  <c r="W512" i="23" s="1"/>
  <c r="AC362" i="23"/>
  <c r="AI362" i="23" s="1"/>
  <c r="Z363" i="23"/>
  <c r="AI312" i="23"/>
  <c r="J146" i="23"/>
  <c r="I151" i="23"/>
  <c r="E664" i="23"/>
  <c r="K664" i="23" s="1"/>
  <c r="Q314" i="23"/>
  <c r="B240" i="23"/>
  <c r="E239" i="23"/>
  <c r="Q363" i="23"/>
  <c r="N364" i="23"/>
  <c r="Q364" i="23" s="1"/>
  <c r="AC588" i="23"/>
  <c r="Z589" i="23"/>
  <c r="O589" i="23"/>
  <c r="O590" i="23" s="1"/>
  <c r="O591" i="23" s="1"/>
  <c r="O592" i="23" s="1"/>
  <c r="O593" i="23" s="1"/>
  <c r="O594" i="23" s="1"/>
  <c r="O595" i="23" s="1"/>
  <c r="O596" i="23" s="1"/>
  <c r="Q588" i="23"/>
  <c r="AH518" i="23"/>
  <c r="AE522" i="23"/>
  <c r="AB513" i="23"/>
  <c r="AC512" i="23"/>
  <c r="J338" i="23"/>
  <c r="I339" i="23"/>
  <c r="AH213" i="23"/>
  <c r="AG214" i="23"/>
  <c r="P214" i="23"/>
  <c r="Q213" i="23"/>
  <c r="U168" i="23"/>
  <c r="V168" i="23" s="1"/>
  <c r="V123" i="23"/>
  <c r="AC14" i="23"/>
  <c r="AI14" i="23" s="1"/>
  <c r="J18" i="10"/>
  <c r="N19" i="10"/>
  <c r="B69" i="23"/>
  <c r="C665" i="23"/>
  <c r="AG745" i="23"/>
  <c r="AH745" i="23" s="1"/>
  <c r="AG665" i="23"/>
  <c r="AH665" i="23" s="1"/>
  <c r="AH664" i="23"/>
  <c r="Z750" i="23"/>
  <c r="AC747" i="23"/>
  <c r="V66" i="23"/>
  <c r="U67" i="23"/>
  <c r="Q313" i="23"/>
  <c r="N663" i="23"/>
  <c r="AG754" i="23"/>
  <c r="AH754" i="23" s="1"/>
  <c r="Z41" i="23"/>
  <c r="AC40" i="23"/>
  <c r="AG16" i="23"/>
  <c r="I129" i="23"/>
  <c r="J124" i="23"/>
  <c r="V152" i="23"/>
  <c r="Q212" i="23"/>
  <c r="W212" i="23" s="1"/>
  <c r="V238" i="23"/>
  <c r="Z613" i="23"/>
  <c r="AC612" i="23"/>
  <c r="AI612" i="23" s="1"/>
  <c r="U571" i="23"/>
  <c r="V571" i="23" s="1"/>
  <c r="AH451" i="23"/>
  <c r="J64" i="10"/>
  <c r="M65" i="10"/>
  <c r="AG713" i="23"/>
  <c r="AH712" i="23"/>
  <c r="AH481" i="23"/>
  <c r="AG483" i="23"/>
  <c r="AC711" i="23"/>
  <c r="V718" i="23"/>
  <c r="AA690" i="23"/>
  <c r="AC686" i="23"/>
  <c r="J694" i="23"/>
  <c r="I695" i="23"/>
  <c r="H60" i="10"/>
  <c r="G672" i="23"/>
  <c r="J643" i="23"/>
  <c r="G647" i="23"/>
  <c r="J619" i="23"/>
  <c r="I620" i="23"/>
  <c r="U588" i="23"/>
  <c r="V587" i="23"/>
  <c r="AB562" i="23"/>
  <c r="AC561" i="23"/>
  <c r="AI561" i="23" s="1"/>
  <c r="N562" i="23"/>
  <c r="Q561" i="23"/>
  <c r="W561" i="23" s="1"/>
  <c r="V542" i="23"/>
  <c r="U543" i="23"/>
  <c r="V543" i="23" s="1"/>
  <c r="Q536" i="23"/>
  <c r="E413" i="23"/>
  <c r="K413" i="23" s="1"/>
  <c r="AG389" i="23"/>
  <c r="AH388" i="23"/>
  <c r="I364" i="23"/>
  <c r="J363" i="23"/>
  <c r="K363" i="23" s="1"/>
  <c r="U338" i="23"/>
  <c r="V337" i="23"/>
  <c r="AH270" i="23"/>
  <c r="AG271" i="23"/>
  <c r="I271" i="23"/>
  <c r="J270" i="23"/>
  <c r="E238" i="23"/>
  <c r="J187" i="23"/>
  <c r="K187" i="23" s="1"/>
  <c r="I188" i="23"/>
  <c r="H173" i="23"/>
  <c r="I162" i="23"/>
  <c r="J162" i="23" s="1"/>
  <c r="I122" i="23"/>
  <c r="J117" i="23"/>
  <c r="AA66" i="23"/>
  <c r="AC65" i="23"/>
  <c r="AI65" i="23" s="1"/>
  <c r="E40" i="23"/>
  <c r="B41" i="23"/>
  <c r="B42" i="23" s="1"/>
  <c r="B43" i="23" s="1"/>
  <c r="B44" i="23" s="1"/>
  <c r="B45" i="23" s="1"/>
  <c r="B46" i="23" s="1"/>
  <c r="B47" i="23" s="1"/>
  <c r="B48" i="23" s="1"/>
  <c r="B49" i="23" s="1"/>
  <c r="U754" i="23"/>
  <c r="V754" i="23" s="1"/>
  <c r="V751" i="23"/>
  <c r="V741" i="23"/>
  <c r="U743" i="23"/>
  <c r="N67" i="10"/>
  <c r="J66" i="10"/>
  <c r="O67" i="10" s="1"/>
  <c r="Q41" i="23"/>
  <c r="N42" i="23"/>
  <c r="AH758" i="23"/>
  <c r="AG760" i="23"/>
  <c r="AH760" i="23" s="1"/>
  <c r="K237" i="23"/>
  <c r="AI661" i="23"/>
  <c r="J719" i="23"/>
  <c r="I720" i="23"/>
  <c r="AG640" i="23"/>
  <c r="AH640" i="23" s="1"/>
  <c r="AH639" i="23"/>
  <c r="D562" i="23"/>
  <c r="D563" i="23" s="1"/>
  <c r="D564" i="23" s="1"/>
  <c r="D565" i="23" s="1"/>
  <c r="D566" i="23" s="1"/>
  <c r="D567" i="23" s="1"/>
  <c r="D568" i="23" s="1"/>
  <c r="D569" i="23" s="1"/>
  <c r="D570" i="23" s="1"/>
  <c r="D571" i="23" s="1"/>
  <c r="E561" i="23"/>
  <c r="C537" i="23"/>
  <c r="E536" i="23"/>
  <c r="P477" i="23"/>
  <c r="Q475" i="23"/>
  <c r="H46" i="10"/>
  <c r="J46" i="10" s="1"/>
  <c r="I442" i="23"/>
  <c r="J440" i="23"/>
  <c r="N388" i="23"/>
  <c r="Q387" i="23"/>
  <c r="W387" i="23" s="1"/>
  <c r="AG321" i="23"/>
  <c r="AH320" i="23"/>
  <c r="AG264" i="23"/>
  <c r="AH263" i="23"/>
  <c r="P65" i="23"/>
  <c r="P66" i="23" s="1"/>
  <c r="P67" i="23" s="1"/>
  <c r="P68" i="23" s="1"/>
  <c r="P69" i="23" s="1"/>
  <c r="P70" i="23" s="1"/>
  <c r="P71" i="23" s="1"/>
  <c r="P72" i="23" s="1"/>
  <c r="P73" i="23" s="1"/>
  <c r="P74" i="23" s="1"/>
  <c r="Q64" i="23"/>
  <c r="W64" i="23" s="1"/>
  <c r="I752" i="23"/>
  <c r="N450" i="23"/>
  <c r="E515" i="23"/>
  <c r="I93" i="23"/>
  <c r="J93" i="23" s="1"/>
  <c r="P640" i="23"/>
  <c r="P641" i="23" s="1"/>
  <c r="P642" i="23" s="1"/>
  <c r="P643" i="23" s="1"/>
  <c r="P644" i="23" s="1"/>
  <c r="P645" i="23" s="1"/>
  <c r="AC745" i="23"/>
  <c r="AG67" i="23"/>
  <c r="E663" i="23"/>
  <c r="K663" i="23" s="1"/>
  <c r="J346" i="23"/>
  <c r="V396" i="23"/>
  <c r="I222" i="23"/>
  <c r="J222" i="23" s="1"/>
  <c r="AG41" i="23"/>
  <c r="Z290" i="23"/>
  <c r="AI64" i="23"/>
  <c r="B91" i="23"/>
  <c r="E90" i="23"/>
  <c r="K90" i="23" s="1"/>
  <c r="I165" i="23"/>
  <c r="J165" i="23" s="1"/>
  <c r="E188" i="23"/>
  <c r="B189" i="23"/>
  <c r="Q128" i="23"/>
  <c r="N133" i="23"/>
  <c r="O414" i="23"/>
  <c r="Q413" i="23"/>
  <c r="AG422" i="23"/>
  <c r="AH422" i="23" s="1"/>
  <c r="AC611" i="23"/>
  <c r="B264" i="23"/>
  <c r="AH569" i="23"/>
  <c r="C612" i="23"/>
  <c r="J668" i="23"/>
  <c r="U646" i="23"/>
  <c r="V646" i="23" s="1"/>
  <c r="V645" i="23"/>
  <c r="K536" i="23"/>
  <c r="E712" i="23"/>
  <c r="B713" i="23"/>
  <c r="B714" i="23" s="1"/>
  <c r="B715" i="23" s="1"/>
  <c r="B716" i="23" s="1"/>
  <c r="K710" i="23"/>
  <c r="AC662" i="23"/>
  <c r="AI662" i="23" s="1"/>
  <c r="K660" i="23"/>
  <c r="Q636" i="23"/>
  <c r="W636" i="23" s="1"/>
  <c r="N637" i="23"/>
  <c r="N638" i="23" s="1"/>
  <c r="E637" i="23"/>
  <c r="K635" i="23"/>
  <c r="I595" i="23"/>
  <c r="J594" i="23"/>
  <c r="Z538" i="23"/>
  <c r="AC537" i="23"/>
  <c r="O442" i="23"/>
  <c r="Q440" i="23"/>
  <c r="V437" i="23"/>
  <c r="S460" i="23"/>
  <c r="AG347" i="23"/>
  <c r="AH347" i="23" s="1"/>
  <c r="AH346" i="23"/>
  <c r="C288" i="23"/>
  <c r="E287" i="23"/>
  <c r="K287" i="23" s="1"/>
  <c r="AG269" i="23"/>
  <c r="AH269" i="23" s="1"/>
  <c r="C263" i="23"/>
  <c r="C264" i="23" s="1"/>
  <c r="C265" i="23" s="1"/>
  <c r="C266" i="23" s="1"/>
  <c r="C267" i="23" s="1"/>
  <c r="C268" i="23" s="1"/>
  <c r="C269" i="23" s="1"/>
  <c r="C270" i="23" s="1"/>
  <c r="C271" i="23" s="1"/>
  <c r="C272" i="23" s="1"/>
  <c r="E262" i="23"/>
  <c r="K213" i="23"/>
  <c r="D123" i="23"/>
  <c r="D128" i="23" s="1"/>
  <c r="D133" i="23" s="1"/>
  <c r="D138" i="23" s="1"/>
  <c r="D143" i="23" s="1"/>
  <c r="D148" i="23" s="1"/>
  <c r="D153" i="23" s="1"/>
  <c r="D158" i="23" s="1"/>
  <c r="D163" i="23" s="1"/>
  <c r="D168" i="23" s="1"/>
  <c r="E118" i="23"/>
  <c r="V756" i="23"/>
  <c r="U758" i="23"/>
  <c r="V21" i="23"/>
  <c r="K15" i="23"/>
  <c r="Q188" i="23"/>
  <c r="V344" i="23"/>
  <c r="AI475" i="23"/>
  <c r="W511" i="23"/>
  <c r="E662" i="23"/>
  <c r="K662" i="23" s="1"/>
  <c r="J645" i="23"/>
  <c r="I646" i="23"/>
  <c r="J646" i="23" s="1"/>
  <c r="J611" i="23"/>
  <c r="I612" i="23"/>
  <c r="AH567" i="23"/>
  <c r="AG568" i="23"/>
  <c r="AH568" i="23" s="1"/>
  <c r="AH543" i="23"/>
  <c r="AE547" i="23"/>
  <c r="AH443" i="23"/>
  <c r="AG445" i="23"/>
  <c r="H446" i="23"/>
  <c r="H460" i="23" s="1"/>
  <c r="V414" i="23"/>
  <c r="U415" i="23"/>
  <c r="J396" i="23"/>
  <c r="I397" i="23"/>
  <c r="J397" i="23" s="1"/>
  <c r="AG314" i="23"/>
  <c r="AH313" i="23"/>
  <c r="K286" i="23"/>
  <c r="W211" i="23"/>
  <c r="AH151" i="23"/>
  <c r="AG156" i="23"/>
  <c r="AH156" i="23" s="1"/>
  <c r="J144" i="23"/>
  <c r="I149" i="23"/>
  <c r="N189" i="23"/>
  <c r="E661" i="23"/>
  <c r="K661" i="23" s="1"/>
  <c r="V618" i="23"/>
  <c r="J586" i="23"/>
  <c r="I587" i="23"/>
  <c r="J569" i="23"/>
  <c r="I570" i="23"/>
  <c r="AI510" i="23"/>
  <c r="I520" i="23"/>
  <c r="J519" i="23"/>
  <c r="V478" i="23"/>
  <c r="U480" i="23"/>
  <c r="AG397" i="23"/>
  <c r="AH397" i="23" s="1"/>
  <c r="AH396" i="23"/>
  <c r="J387" i="23"/>
  <c r="I388" i="23"/>
  <c r="J388" i="23" s="1"/>
  <c r="U371" i="23"/>
  <c r="V370" i="23"/>
  <c r="K361" i="23"/>
  <c r="V321" i="23"/>
  <c r="U322" i="23"/>
  <c r="V322" i="23" s="1"/>
  <c r="AB288" i="23"/>
  <c r="H24" i="10"/>
  <c r="V244" i="23"/>
  <c r="W236" i="23"/>
  <c r="AH218" i="23"/>
  <c r="AG219" i="23"/>
  <c r="AH219" i="23" s="1"/>
  <c r="AH193" i="23"/>
  <c r="AG194" i="23"/>
  <c r="AH194" i="23" s="1"/>
  <c r="U166" i="23"/>
  <c r="V166" i="23" s="1"/>
  <c r="U126" i="23"/>
  <c r="V121" i="23"/>
  <c r="Q89" i="23"/>
  <c r="E64" i="23"/>
  <c r="Q39" i="23"/>
  <c r="Q586" i="23"/>
  <c r="W586" i="23" s="1"/>
  <c r="AG545" i="23"/>
  <c r="I475" i="23"/>
  <c r="I477" i="23" s="1"/>
  <c r="I479" i="23" s="1"/>
  <c r="I481" i="23" s="1"/>
  <c r="W336" i="23"/>
  <c r="I321" i="23"/>
  <c r="Q237" i="23"/>
  <c r="W237" i="23" s="1"/>
  <c r="K212" i="23"/>
  <c r="J195" i="23"/>
  <c r="W113" i="23"/>
  <c r="J114" i="23"/>
  <c r="K113" i="23" s="1"/>
  <c r="F48" i="10"/>
  <c r="K48" i="10" s="1"/>
  <c r="Q611" i="23"/>
  <c r="V595" i="23"/>
  <c r="W585" i="23"/>
  <c r="AC511" i="23"/>
  <c r="K510" i="23"/>
  <c r="W411" i="23"/>
  <c r="AI236" i="23"/>
  <c r="I244" i="23"/>
  <c r="J244" i="23" s="1"/>
  <c r="AI186" i="23"/>
  <c r="AI113" i="23"/>
  <c r="J737" i="23"/>
  <c r="I739" i="23"/>
  <c r="I741" i="23" s="1"/>
  <c r="F34" i="10"/>
  <c r="K34" i="10" s="1"/>
  <c r="J51" i="10"/>
  <c r="J37" i="10"/>
  <c r="O37" i="10" s="1"/>
  <c r="J19" i="10"/>
  <c r="W13" i="23"/>
  <c r="B14" i="10"/>
  <c r="B60" i="10"/>
  <c r="B20" i="10"/>
  <c r="B28" i="10"/>
  <c r="B62" i="10"/>
  <c r="N11" i="10"/>
  <c r="J11" i="10"/>
  <c r="B66" i="10"/>
  <c r="B58" i="10"/>
  <c r="C66" i="10"/>
  <c r="F66" i="10" s="1"/>
  <c r="K66" i="10" s="1"/>
  <c r="C10" i="10"/>
  <c r="F10" i="10" s="1"/>
  <c r="B24" i="10"/>
  <c r="B32" i="10"/>
  <c r="B40" i="10"/>
  <c r="B10" i="10"/>
  <c r="B18" i="10"/>
  <c r="C20" i="10"/>
  <c r="F20" i="10" s="1"/>
  <c r="B54" i="10"/>
  <c r="A1" i="10"/>
  <c r="Z99" i="23"/>
  <c r="Z569" i="23"/>
  <c r="B393" i="23"/>
  <c r="Z519" i="23"/>
  <c r="N753" i="23"/>
  <c r="E517" i="23"/>
  <c r="K517" i="23" s="1"/>
  <c r="B518" i="23"/>
  <c r="Z420" i="23"/>
  <c r="N97" i="23"/>
  <c r="Z668" i="23"/>
  <c r="N244" i="23"/>
  <c r="B693" i="23"/>
  <c r="Z268" i="23"/>
  <c r="B670" i="23"/>
  <c r="N293" i="23"/>
  <c r="Z69" i="23"/>
  <c r="B70" i="23"/>
  <c r="O483" i="23"/>
  <c r="N69" i="23"/>
  <c r="I539" i="23"/>
  <c r="J538" i="23"/>
  <c r="Z342" i="23"/>
  <c r="AC341" i="23"/>
  <c r="B293" i="23"/>
  <c r="Z143" i="23"/>
  <c r="AC138" i="23"/>
  <c r="AG366" i="23"/>
  <c r="AH366" i="23" s="1"/>
  <c r="AH365" i="23"/>
  <c r="B343" i="23"/>
  <c r="Z291" i="23"/>
  <c r="N591" i="23"/>
  <c r="AG491" i="23"/>
  <c r="AH483" i="23"/>
  <c r="B639" i="23"/>
  <c r="E638" i="23"/>
  <c r="U68" i="23"/>
  <c r="V68" i="23" s="1"/>
  <c r="V67" i="23"/>
  <c r="C714" i="23"/>
  <c r="P390" i="23"/>
  <c r="V48" i="23"/>
  <c r="U49" i="23"/>
  <c r="V49" i="23" s="1"/>
  <c r="AH474" i="23"/>
  <c r="AE497" i="23"/>
  <c r="M51" i="10"/>
  <c r="J50" i="10"/>
  <c r="N215" i="23"/>
  <c r="E563" i="23"/>
  <c r="B564" i="23"/>
  <c r="B589" i="23"/>
  <c r="AH613" i="23"/>
  <c r="AG614" i="23"/>
  <c r="AC17" i="23"/>
  <c r="K313" i="23"/>
  <c r="U457" i="23"/>
  <c r="V455" i="23"/>
  <c r="Z691" i="23"/>
  <c r="N365" i="23"/>
  <c r="B316" i="23"/>
  <c r="E315" i="23"/>
  <c r="C415" i="23"/>
  <c r="B216" i="23"/>
  <c r="E215" i="23"/>
  <c r="Z481" i="23"/>
  <c r="AC479" i="23"/>
  <c r="AG17" i="23"/>
  <c r="AH16" i="23"/>
  <c r="B128" i="23"/>
  <c r="O29" i="10"/>
  <c r="M21" i="10"/>
  <c r="AI711" i="23"/>
  <c r="J672" i="23"/>
  <c r="B614" i="23"/>
  <c r="AH586" i="23"/>
  <c r="AG587" i="23"/>
  <c r="C388" i="23"/>
  <c r="E387" i="23"/>
  <c r="B365" i="23"/>
  <c r="E364" i="23"/>
  <c r="AH132" i="23"/>
  <c r="I18" i="23"/>
  <c r="J18" i="23" s="1"/>
  <c r="K18" i="23" s="1"/>
  <c r="J17" i="23"/>
  <c r="K17" i="23" s="1"/>
  <c r="AH128" i="23"/>
  <c r="O341" i="23"/>
  <c r="AI40" i="23"/>
  <c r="Z315" i="23"/>
  <c r="Q15" i="23"/>
  <c r="C42" i="23"/>
  <c r="C43" i="23" s="1"/>
  <c r="E41" i="23"/>
  <c r="K89" i="23"/>
  <c r="J246" i="23"/>
  <c r="I247" i="23"/>
  <c r="J247" i="23" s="1"/>
  <c r="AB414" i="23"/>
  <c r="AC413" i="23"/>
  <c r="M57" i="10"/>
  <c r="J56" i="10"/>
  <c r="I20" i="10"/>
  <c r="V662" i="23"/>
  <c r="W662" i="23" s="1"/>
  <c r="U663" i="23"/>
  <c r="V390" i="23"/>
  <c r="U391" i="23"/>
  <c r="V391" i="23" s="1"/>
  <c r="AG130" i="23"/>
  <c r="AG170" i="23"/>
  <c r="AH170" i="23" s="1"/>
  <c r="AH126" i="23"/>
  <c r="AI123" i="23" s="1"/>
  <c r="AG171" i="23"/>
  <c r="AH171" i="23" s="1"/>
  <c r="N714" i="23"/>
  <c r="Q713" i="23"/>
  <c r="W337" i="23"/>
  <c r="B16" i="10"/>
  <c r="AH687" i="23"/>
  <c r="AG688" i="23"/>
  <c r="J695" i="23"/>
  <c r="I696" i="23"/>
  <c r="J696" i="23" s="1"/>
  <c r="I421" i="23"/>
  <c r="J420" i="23"/>
  <c r="AI712" i="23"/>
  <c r="AI39" i="23"/>
  <c r="AH196" i="23"/>
  <c r="AG197" i="23"/>
  <c r="AH197" i="23" s="1"/>
  <c r="V221" i="23"/>
  <c r="U222" i="23"/>
  <c r="V222" i="23" s="1"/>
  <c r="I128" i="23"/>
  <c r="I168" i="23"/>
  <c r="J168" i="23" s="1"/>
  <c r="I372" i="23"/>
  <c r="J372" i="23" s="1"/>
  <c r="J371" i="23"/>
  <c r="N613" i="23"/>
  <c r="Q612" i="23"/>
  <c r="B539" i="23"/>
  <c r="I21" i="10"/>
  <c r="J21" i="10" s="1"/>
  <c r="AG322" i="23"/>
  <c r="AH322" i="23" s="1"/>
  <c r="AH321" i="23"/>
  <c r="I315" i="23"/>
  <c r="J314" i="23"/>
  <c r="B12" i="10"/>
  <c r="N692" i="23"/>
  <c r="Q686" i="23"/>
  <c r="O687" i="23"/>
  <c r="O688" i="23" s="1"/>
  <c r="E687" i="23"/>
  <c r="AI636" i="23"/>
  <c r="AH618" i="23"/>
  <c r="AE622" i="23"/>
  <c r="K611" i="23"/>
  <c r="P590" i="23"/>
  <c r="P591" i="23" s="1"/>
  <c r="P592" i="23" s="1"/>
  <c r="P593" i="23" s="1"/>
  <c r="P594" i="23" s="1"/>
  <c r="P595" i="23" s="1"/>
  <c r="P596" i="23" s="1"/>
  <c r="Q589" i="23"/>
  <c r="D481" i="23"/>
  <c r="Q338" i="23"/>
  <c r="AB664" i="23"/>
  <c r="AC663" i="23"/>
  <c r="AI663" i="23" s="1"/>
  <c r="AE572" i="23"/>
  <c r="N539" i="23"/>
  <c r="Q538" i="23"/>
  <c r="J415" i="23"/>
  <c r="I416" i="23"/>
  <c r="J416" i="23" s="1"/>
  <c r="AE398" i="23"/>
  <c r="AE348" i="23"/>
  <c r="P289" i="23"/>
  <c r="Q288" i="23"/>
  <c r="V193" i="23"/>
  <c r="U194" i="23"/>
  <c r="V194" i="23" s="1"/>
  <c r="O92" i="23"/>
  <c r="Q91" i="23"/>
  <c r="O67" i="23"/>
  <c r="O68" i="23" s="1"/>
  <c r="O69" i="23" s="1"/>
  <c r="O70" i="23" s="1"/>
  <c r="O71" i="23" s="1"/>
  <c r="O72" i="23" s="1"/>
  <c r="O73" i="23" s="1"/>
  <c r="O74" i="23" s="1"/>
  <c r="Q66" i="23"/>
  <c r="W66" i="23" s="1"/>
  <c r="W63" i="23"/>
  <c r="C60" i="10"/>
  <c r="F60" i="10" s="1"/>
  <c r="J692" i="23"/>
  <c r="I693" i="23"/>
  <c r="W660" i="23"/>
  <c r="AH595" i="23"/>
  <c r="AG596" i="23"/>
  <c r="AH596" i="23" s="1"/>
  <c r="V567" i="23"/>
  <c r="U568" i="23"/>
  <c r="H44" i="10"/>
  <c r="J489" i="23"/>
  <c r="H489" i="23"/>
  <c r="H497" i="23" s="1"/>
  <c r="AH445" i="23"/>
  <c r="AG447" i="23"/>
  <c r="I445" i="23"/>
  <c r="J443" i="23"/>
  <c r="AH371" i="23"/>
  <c r="AG372" i="23"/>
  <c r="AH372" i="23" s="1"/>
  <c r="H32" i="10"/>
  <c r="G348" i="23"/>
  <c r="AB263" i="23"/>
  <c r="AB264" i="23" s="1"/>
  <c r="AC262" i="23"/>
  <c r="Q262" i="23"/>
  <c r="N263" i="23"/>
  <c r="E312" i="23"/>
  <c r="AC587" i="23"/>
  <c r="AH695" i="23"/>
  <c r="AG696" i="23"/>
  <c r="AH696" i="23" s="1"/>
  <c r="Q687" i="23"/>
  <c r="J637" i="23"/>
  <c r="I638" i="23"/>
  <c r="V619" i="23"/>
  <c r="U620" i="23"/>
  <c r="C587" i="23"/>
  <c r="E586" i="23"/>
  <c r="V513" i="23"/>
  <c r="U514" i="23"/>
  <c r="I45" i="10"/>
  <c r="I488" i="23"/>
  <c r="J486" i="23"/>
  <c r="J441" i="23"/>
  <c r="B440" i="23"/>
  <c r="E438" i="23"/>
  <c r="J418" i="23"/>
  <c r="I419" i="23"/>
  <c r="J419" i="23" s="1"/>
  <c r="Z389" i="23"/>
  <c r="AH337" i="23"/>
  <c r="AG338" i="23"/>
  <c r="C338" i="23"/>
  <c r="E337" i="23"/>
  <c r="AG289" i="23"/>
  <c r="AH288" i="23"/>
  <c r="U263" i="23"/>
  <c r="V262" i="23"/>
  <c r="AH150" i="23"/>
  <c r="AG155" i="23"/>
  <c r="AH155" i="23" s="1"/>
  <c r="J145" i="23"/>
  <c r="I150" i="23"/>
  <c r="AE100" i="23"/>
  <c r="AH20" i="23"/>
  <c r="AG21" i="23"/>
  <c r="AH21" i="23" s="1"/>
  <c r="J22" i="23"/>
  <c r="I23" i="23"/>
  <c r="C32" i="10"/>
  <c r="F32" i="10" s="1"/>
  <c r="C28" i="10"/>
  <c r="F28" i="10" s="1"/>
  <c r="K28" i="10" s="1"/>
  <c r="C26" i="10"/>
  <c r="F26" i="10" s="1"/>
  <c r="C16" i="10"/>
  <c r="F16" i="10" s="1"/>
  <c r="AG721" i="23"/>
  <c r="AH721" i="23" s="1"/>
  <c r="AH720" i="23"/>
  <c r="V719" i="23"/>
  <c r="U720" i="23"/>
  <c r="J686" i="23"/>
  <c r="I687" i="23"/>
  <c r="V670" i="23"/>
  <c r="U671" i="23"/>
  <c r="V671" i="23" s="1"/>
  <c r="V642" i="23"/>
  <c r="U643" i="23"/>
  <c r="V643" i="23" s="1"/>
  <c r="V536" i="23"/>
  <c r="U537" i="23"/>
  <c r="V487" i="23"/>
  <c r="U489" i="23"/>
  <c r="V489" i="23" s="1"/>
  <c r="AC438" i="23"/>
  <c r="Z440" i="23"/>
  <c r="V438" i="23"/>
  <c r="W438" i="23" s="1"/>
  <c r="U440" i="23"/>
  <c r="V415" i="23"/>
  <c r="U416" i="23"/>
  <c r="V416" i="23" s="1"/>
  <c r="AC387" i="23"/>
  <c r="AI387" i="23" s="1"/>
  <c r="AA388" i="23"/>
  <c r="AA389" i="23" s="1"/>
  <c r="AA390" i="23" s="1"/>
  <c r="AA391" i="23" s="1"/>
  <c r="AA392" i="23" s="1"/>
  <c r="AA393" i="23" s="1"/>
  <c r="AA394" i="23" s="1"/>
  <c r="AA395" i="23" s="1"/>
  <c r="AA396" i="23" s="1"/>
  <c r="AA397" i="23" s="1"/>
  <c r="I389" i="23"/>
  <c r="S373" i="23"/>
  <c r="V362" i="23"/>
  <c r="U363" i="23"/>
  <c r="AG319" i="23"/>
  <c r="AH319" i="23" s="1"/>
  <c r="AH318" i="23"/>
  <c r="V318" i="23"/>
  <c r="U319" i="23"/>
  <c r="V319" i="23" s="1"/>
  <c r="V270" i="23"/>
  <c r="U271" i="23"/>
  <c r="AC212" i="23"/>
  <c r="Z213" i="23"/>
  <c r="V187" i="23"/>
  <c r="U188" i="23"/>
  <c r="AC89" i="23"/>
  <c r="AA90" i="23"/>
  <c r="B22" i="10"/>
  <c r="B26" i="10"/>
  <c r="B30" i="10"/>
  <c r="B34" i="10"/>
  <c r="B38" i="10"/>
  <c r="B44" i="10"/>
  <c r="B50" i="10"/>
  <c r="C58" i="10"/>
  <c r="F58" i="10" s="1"/>
  <c r="K58" i="10" s="1"/>
  <c r="C56" i="10"/>
  <c r="F56" i="10" s="1"/>
  <c r="V436" i="23"/>
  <c r="Q661" i="23"/>
  <c r="G622" i="23"/>
  <c r="AH642" i="23"/>
  <c r="AG643" i="23"/>
  <c r="AH643" i="23" s="1"/>
  <c r="J587" i="23"/>
  <c r="I588" i="23"/>
  <c r="V568" i="23"/>
  <c r="AH545" i="23"/>
  <c r="AG546" i="23"/>
  <c r="AH546" i="23" s="1"/>
  <c r="J511" i="23"/>
  <c r="I512" i="23"/>
  <c r="J479" i="23"/>
  <c r="AE439" i="23"/>
  <c r="J451" i="23"/>
  <c r="I453" i="23"/>
  <c r="J453" i="23" s="1"/>
  <c r="V295" i="23"/>
  <c r="U296" i="23"/>
  <c r="P238" i="23"/>
  <c r="V122" i="23"/>
  <c r="U127" i="23"/>
  <c r="U90" i="23"/>
  <c r="V89" i="23"/>
  <c r="AH47" i="23"/>
  <c r="AG48" i="23"/>
  <c r="C40" i="10"/>
  <c r="F40" i="10" s="1"/>
  <c r="C38" i="10"/>
  <c r="F38" i="10" s="1"/>
  <c r="K38" i="10" s="1"/>
  <c r="C36" i="10"/>
  <c r="F36" i="10" s="1"/>
  <c r="K36" i="10" s="1"/>
  <c r="J22" i="10"/>
  <c r="N23" i="10"/>
  <c r="AH750" i="23"/>
  <c r="AG753" i="23"/>
  <c r="AH753" i="23" s="1"/>
  <c r="V711" i="23"/>
  <c r="U712" i="23"/>
  <c r="AH693" i="23"/>
  <c r="AC637" i="23"/>
  <c r="Z638" i="23"/>
  <c r="W610" i="23"/>
  <c r="J617" i="23"/>
  <c r="I618" i="23"/>
  <c r="J618" i="23" s="1"/>
  <c r="W560" i="23"/>
  <c r="J542" i="23"/>
  <c r="I543" i="23"/>
  <c r="J543" i="23" s="1"/>
  <c r="V518" i="23"/>
  <c r="AG490" i="23"/>
  <c r="AH490" i="23" s="1"/>
  <c r="AH488" i="23"/>
  <c r="I47" i="10"/>
  <c r="I476" i="23"/>
  <c r="J473" i="23"/>
  <c r="G474" i="23"/>
  <c r="AH436" i="23"/>
  <c r="AG438" i="23"/>
  <c r="AG440" i="23" s="1"/>
  <c r="H40" i="10"/>
  <c r="J438" i="23"/>
  <c r="G439" i="23"/>
  <c r="AH343" i="23"/>
  <c r="AG344" i="23"/>
  <c r="AH344" i="23" s="1"/>
  <c r="V312" i="23"/>
  <c r="U313" i="23"/>
  <c r="I319" i="23"/>
  <c r="J319" i="23" s="1"/>
  <c r="J318" i="23"/>
  <c r="AI287" i="23"/>
  <c r="U288" i="23"/>
  <c r="V287" i="23"/>
  <c r="AH246" i="23"/>
  <c r="AG247" i="23"/>
  <c r="AH247" i="23" s="1"/>
  <c r="AH148" i="23"/>
  <c r="AG153" i="23"/>
  <c r="AH153" i="23" s="1"/>
  <c r="U124" i="23"/>
  <c r="U164" i="23"/>
  <c r="V164" i="23" s="1"/>
  <c r="I148" i="23"/>
  <c r="J143" i="23"/>
  <c r="AG96" i="23"/>
  <c r="AH96" i="23" s="1"/>
  <c r="AH95" i="23"/>
  <c r="U71" i="23"/>
  <c r="V71" i="23" s="1"/>
  <c r="V70" i="23"/>
  <c r="V14" i="23"/>
  <c r="U15" i="23"/>
  <c r="H10" i="10"/>
  <c r="G25" i="23"/>
  <c r="C52" i="10"/>
  <c r="F52" i="10" s="1"/>
  <c r="K52" i="10" s="1"/>
  <c r="C12" i="10"/>
  <c r="B56" i="10"/>
  <c r="AH718" i="23"/>
  <c r="W710" i="23"/>
  <c r="J717" i="23"/>
  <c r="I718" i="23"/>
  <c r="J718" i="23" s="1"/>
  <c r="J693" i="23"/>
  <c r="H62" i="10"/>
  <c r="V668" i="23"/>
  <c r="V611" i="23"/>
  <c r="U612" i="23"/>
  <c r="AH593" i="23"/>
  <c r="Q587" i="23"/>
  <c r="K585" i="23"/>
  <c r="AG571" i="23"/>
  <c r="AH571" i="23" s="1"/>
  <c r="AH570" i="23"/>
  <c r="J561" i="23"/>
  <c r="I562" i="23"/>
  <c r="AH536" i="23"/>
  <c r="AG537" i="23"/>
  <c r="AG520" i="23"/>
  <c r="AH511" i="23"/>
  <c r="AG512" i="23"/>
  <c r="H45" i="10"/>
  <c r="V413" i="23"/>
  <c r="AG394" i="23"/>
  <c r="AH394" i="23" s="1"/>
  <c r="AH393" i="23"/>
  <c r="U369" i="23"/>
  <c r="V369" i="23" s="1"/>
  <c r="V368" i="23"/>
  <c r="I344" i="23"/>
  <c r="J344" i="23" s="1"/>
  <c r="K336" i="23"/>
  <c r="Q287" i="23"/>
  <c r="I263" i="23"/>
  <c r="J262" i="23"/>
  <c r="I239" i="23"/>
  <c r="J238" i="23"/>
  <c r="AH188" i="23"/>
  <c r="AG189" i="23"/>
  <c r="I197" i="23"/>
  <c r="J197" i="23" s="1"/>
  <c r="AH152" i="23"/>
  <c r="AG157" i="23"/>
  <c r="AH157" i="23" s="1"/>
  <c r="Q118" i="23"/>
  <c r="I152" i="23"/>
  <c r="J147" i="23"/>
  <c r="AG98" i="23"/>
  <c r="AH97" i="23"/>
  <c r="AH45" i="23"/>
  <c r="AG46" i="23"/>
  <c r="AH46" i="23" s="1"/>
  <c r="J39" i="23"/>
  <c r="I40" i="23"/>
  <c r="E14" i="23"/>
  <c r="Q737" i="23"/>
  <c r="P739" i="23"/>
  <c r="S248" i="23"/>
  <c r="H16" i="10"/>
  <c r="J64" i="23"/>
  <c r="I65" i="23"/>
  <c r="K13" i="23"/>
  <c r="C62" i="10"/>
  <c r="F62" i="10" s="1"/>
  <c r="C54" i="10"/>
  <c r="F54" i="10" s="1"/>
  <c r="K54" i="10" s="1"/>
  <c r="C30" i="10"/>
  <c r="F30" i="10" s="1"/>
  <c r="C24" i="10"/>
  <c r="F24" i="10" s="1"/>
  <c r="C18" i="10"/>
  <c r="F18" i="10" s="1"/>
  <c r="K18" i="10" s="1"/>
  <c r="B64" i="10"/>
  <c r="B739" i="23"/>
  <c r="E737" i="23"/>
  <c r="AE697" i="23"/>
  <c r="AE597" i="23"/>
  <c r="U163" i="23"/>
  <c r="V163" i="23" s="1"/>
  <c r="I96" i="23"/>
  <c r="J96" i="23" s="1"/>
  <c r="J100" i="23" s="1"/>
  <c r="J71" i="23"/>
  <c r="H14" i="10"/>
  <c r="U40" i="23"/>
  <c r="V39" i="23"/>
  <c r="I21" i="23"/>
  <c r="J21" i="23" s="1"/>
  <c r="C64" i="10"/>
  <c r="F64" i="10" s="1"/>
  <c r="K64" i="10" s="1"/>
  <c r="C44" i="10"/>
  <c r="F44" i="10" s="1"/>
  <c r="C14" i="10"/>
  <c r="F14" i="10" s="1"/>
  <c r="AC737" i="23"/>
  <c r="I754" i="23"/>
  <c r="J754" i="23" s="1"/>
  <c r="J751" i="23"/>
  <c r="T762" i="23"/>
  <c r="J756" i="23"/>
  <c r="I758" i="23"/>
  <c r="J750" i="23"/>
  <c r="I753" i="23"/>
  <c r="J753" i="23" s="1"/>
  <c r="J739" i="23"/>
  <c r="M23" i="10"/>
  <c r="J23" i="10"/>
  <c r="K50" i="10" l="1"/>
  <c r="AI686" i="23"/>
  <c r="K712" i="23"/>
  <c r="J121" i="23"/>
  <c r="I126" i="23"/>
  <c r="I166" i="23"/>
  <c r="J166" i="23" s="1"/>
  <c r="U563" i="23"/>
  <c r="V562" i="23"/>
  <c r="V742" i="23"/>
  <c r="U744" i="23"/>
  <c r="U688" i="23"/>
  <c r="V687" i="23"/>
  <c r="W475" i="23"/>
  <c r="Q65" i="23"/>
  <c r="W65" i="23" s="1"/>
  <c r="Q712" i="23"/>
  <c r="Z715" i="23"/>
  <c r="AC714" i="23"/>
  <c r="W687" i="23"/>
  <c r="U452" i="23"/>
  <c r="V452" i="23" s="1"/>
  <c r="V450" i="23"/>
  <c r="V695" i="23"/>
  <c r="U696" i="23"/>
  <c r="V696" i="23" s="1"/>
  <c r="I127" i="23"/>
  <c r="I167" i="23"/>
  <c r="J167" i="23" s="1"/>
  <c r="J122" i="23"/>
  <c r="K118" i="23" s="1"/>
  <c r="AA691" i="23"/>
  <c r="AA692" i="23" s="1"/>
  <c r="AA693" i="23" s="1"/>
  <c r="AA694" i="23" s="1"/>
  <c r="AA695" i="23" s="1"/>
  <c r="AA696" i="23" s="1"/>
  <c r="J129" i="23"/>
  <c r="I134" i="23"/>
  <c r="P215" i="23"/>
  <c r="P216" i="23" s="1"/>
  <c r="P217" i="23" s="1"/>
  <c r="P218" i="23" s="1"/>
  <c r="P219" i="23" s="1"/>
  <c r="P220" i="23" s="1"/>
  <c r="P221" i="23" s="1"/>
  <c r="P222" i="23" s="1"/>
  <c r="Q214" i="23"/>
  <c r="AG671" i="23"/>
  <c r="AH671" i="23" s="1"/>
  <c r="AH670" i="23"/>
  <c r="AH672" i="23" s="1"/>
  <c r="P239" i="23"/>
  <c r="P240" i="23" s="1"/>
  <c r="Q238" i="23"/>
  <c r="I483" i="23"/>
  <c r="J481" i="23"/>
  <c r="V480" i="23"/>
  <c r="U482" i="23"/>
  <c r="AG315" i="23"/>
  <c r="AH314" i="23"/>
  <c r="I613" i="23"/>
  <c r="J612" i="23"/>
  <c r="O444" i="23"/>
  <c r="Q442" i="23"/>
  <c r="J595" i="23"/>
  <c r="I596" i="23"/>
  <c r="J596" i="23" s="1"/>
  <c r="AG714" i="23"/>
  <c r="AH713" i="23"/>
  <c r="AI713" i="23" s="1"/>
  <c r="J130" i="23"/>
  <c r="I135" i="23"/>
  <c r="N318" i="23"/>
  <c r="C67" i="23"/>
  <c r="E66" i="23"/>
  <c r="AA314" i="23"/>
  <c r="AC313" i="23"/>
  <c r="Z243" i="23"/>
  <c r="N416" i="23"/>
  <c r="N417" i="23" s="1"/>
  <c r="N418" i="23" s="1"/>
  <c r="N419" i="23" s="1"/>
  <c r="N420" i="23" s="1"/>
  <c r="N421" i="23" s="1"/>
  <c r="N422" i="23" s="1"/>
  <c r="J475" i="23"/>
  <c r="E123" i="23"/>
  <c r="V214" i="23"/>
  <c r="AI611" i="23"/>
  <c r="O415" i="23"/>
  <c r="O416" i="23" s="1"/>
  <c r="Q414" i="23"/>
  <c r="W414" i="23" s="1"/>
  <c r="AH67" i="23"/>
  <c r="AG68" i="23"/>
  <c r="AH68" i="23" s="1"/>
  <c r="AH75" i="23" s="1"/>
  <c r="P479" i="23"/>
  <c r="Q477" i="23"/>
  <c r="AA67" i="23"/>
  <c r="AC66" i="23"/>
  <c r="AI66" i="23" s="1"/>
  <c r="I621" i="23"/>
  <c r="J621" i="23" s="1"/>
  <c r="J620" i="23"/>
  <c r="AB514" i="23"/>
  <c r="AC513" i="23"/>
  <c r="M27" i="10"/>
  <c r="J26" i="10"/>
  <c r="O27" i="10" s="1"/>
  <c r="J477" i="23"/>
  <c r="V647" i="23"/>
  <c r="C538" i="23"/>
  <c r="E537" i="23"/>
  <c r="K537" i="23" s="1"/>
  <c r="AG272" i="23"/>
  <c r="AH272" i="23" s="1"/>
  <c r="AH271" i="23"/>
  <c r="M61" i="10"/>
  <c r="J60" i="10"/>
  <c r="K60" i="10" s="1"/>
  <c r="C666" i="23"/>
  <c r="E665" i="23"/>
  <c r="K665" i="23" s="1"/>
  <c r="E240" i="23"/>
  <c r="B241" i="23"/>
  <c r="I156" i="23"/>
  <c r="J156" i="23" s="1"/>
  <c r="J151" i="23"/>
  <c r="AG564" i="23"/>
  <c r="AH563" i="23"/>
  <c r="U24" i="23"/>
  <c r="V24" i="23" s="1"/>
  <c r="V23" i="23"/>
  <c r="I215" i="23"/>
  <c r="J214" i="23"/>
  <c r="I154" i="23"/>
  <c r="J154" i="23" s="1"/>
  <c r="J149" i="23"/>
  <c r="U760" i="23"/>
  <c r="V760" i="23" s="1"/>
  <c r="V758" i="23"/>
  <c r="B265" i="23"/>
  <c r="E264" i="23"/>
  <c r="AH248" i="23"/>
  <c r="W661" i="23"/>
  <c r="E713" i="23"/>
  <c r="I322" i="23"/>
  <c r="J322" i="23" s="1"/>
  <c r="J321" i="23"/>
  <c r="AB289" i="23"/>
  <c r="AC288" i="23"/>
  <c r="AI288" i="23" s="1"/>
  <c r="C289" i="23"/>
  <c r="E288" i="23"/>
  <c r="K288" i="23" s="1"/>
  <c r="Z539" i="23"/>
  <c r="AC538" i="23"/>
  <c r="E612" i="23"/>
  <c r="C613" i="23"/>
  <c r="AC750" i="23"/>
  <c r="Z753" i="23"/>
  <c r="Q513" i="23"/>
  <c r="V240" i="23"/>
  <c r="U241" i="23"/>
  <c r="V241" i="23" s="1"/>
  <c r="P317" i="23"/>
  <c r="P318" i="23" s="1"/>
  <c r="P319" i="23" s="1"/>
  <c r="P320" i="23" s="1"/>
  <c r="P321" i="23" s="1"/>
  <c r="P322" i="23" s="1"/>
  <c r="Q316" i="23"/>
  <c r="E562" i="23"/>
  <c r="U131" i="23"/>
  <c r="V126" i="23"/>
  <c r="U171" i="23"/>
  <c r="V171" i="23" s="1"/>
  <c r="J24" i="10"/>
  <c r="O25" i="10" s="1"/>
  <c r="M25" i="10"/>
  <c r="I571" i="23"/>
  <c r="J571" i="23" s="1"/>
  <c r="J570" i="23"/>
  <c r="N190" i="23"/>
  <c r="Q189" i="23"/>
  <c r="AI313" i="23"/>
  <c r="Q638" i="23"/>
  <c r="W638" i="23" s="1"/>
  <c r="N639" i="23"/>
  <c r="N138" i="23"/>
  <c r="Q133" i="23"/>
  <c r="N452" i="23"/>
  <c r="J442" i="23"/>
  <c r="I444" i="23"/>
  <c r="Q42" i="23"/>
  <c r="N43" i="23"/>
  <c r="V743" i="23"/>
  <c r="U745" i="23"/>
  <c r="V745" i="23" s="1"/>
  <c r="I189" i="23"/>
  <c r="J188" i="23"/>
  <c r="K188" i="23" s="1"/>
  <c r="J271" i="23"/>
  <c r="I272" i="23"/>
  <c r="J272" i="23" s="1"/>
  <c r="V338" i="23"/>
  <c r="U339" i="23"/>
  <c r="AG390" i="23"/>
  <c r="AH389" i="23"/>
  <c r="AB563" i="23"/>
  <c r="AC562" i="23"/>
  <c r="Q663" i="23"/>
  <c r="N664" i="23"/>
  <c r="O19" i="10"/>
  <c r="J339" i="23"/>
  <c r="I340" i="23"/>
  <c r="AC589" i="23"/>
  <c r="Z590" i="23"/>
  <c r="N515" i="23"/>
  <c r="Q514" i="23"/>
  <c r="AG141" i="23"/>
  <c r="AH141" i="23" s="1"/>
  <c r="AH136" i="23"/>
  <c r="M31" i="10"/>
  <c r="J30" i="10"/>
  <c r="K30" i="10" s="1"/>
  <c r="AG415" i="23"/>
  <c r="AH414" i="23"/>
  <c r="B479" i="23"/>
  <c r="E477" i="23"/>
  <c r="I714" i="23"/>
  <c r="J713" i="23"/>
  <c r="AH740" i="23"/>
  <c r="AI739" i="23" s="1"/>
  <c r="AG742" i="23"/>
  <c r="V371" i="23"/>
  <c r="U372" i="23"/>
  <c r="V372" i="23" s="1"/>
  <c r="J520" i="23"/>
  <c r="I521" i="23"/>
  <c r="J521" i="23" s="1"/>
  <c r="E263" i="23"/>
  <c r="B190" i="23"/>
  <c r="E189" i="23"/>
  <c r="E91" i="23"/>
  <c r="K91" i="23" s="1"/>
  <c r="B92" i="23"/>
  <c r="AG42" i="23"/>
  <c r="AH41" i="23"/>
  <c r="I755" i="23"/>
  <c r="J752" i="23"/>
  <c r="AG265" i="23"/>
  <c r="AH264" i="23"/>
  <c r="N389" i="23"/>
  <c r="Q388" i="23"/>
  <c r="W388" i="23" s="1"/>
  <c r="J720" i="23"/>
  <c r="I721" i="23"/>
  <c r="J721" i="23" s="1"/>
  <c r="J364" i="23"/>
  <c r="K364" i="23" s="1"/>
  <c r="I365" i="23"/>
  <c r="Q562" i="23"/>
  <c r="W562" i="23" s="1"/>
  <c r="N563" i="23"/>
  <c r="V588" i="23"/>
  <c r="U589" i="23"/>
  <c r="Q637" i="23"/>
  <c r="W637" i="23" s="1"/>
  <c r="AC613" i="23"/>
  <c r="Z614" i="23"/>
  <c r="AC41" i="23"/>
  <c r="Z42" i="23"/>
  <c r="AG215" i="23"/>
  <c r="AH214" i="23"/>
  <c r="W588" i="23"/>
  <c r="Z364" i="23"/>
  <c r="AC363" i="23"/>
  <c r="AI363" i="23" s="1"/>
  <c r="AI562" i="23"/>
  <c r="AA239" i="23"/>
  <c r="AC238" i="23"/>
  <c r="AI238" i="23" s="1"/>
  <c r="U479" i="23"/>
  <c r="V477" i="23"/>
  <c r="AB689" i="23"/>
  <c r="AC688" i="23"/>
  <c r="U138" i="23"/>
  <c r="V138" i="23" s="1"/>
  <c r="V133" i="23"/>
  <c r="B20" i="23"/>
  <c r="E19" i="23"/>
  <c r="K19" i="23" s="1"/>
  <c r="N17" i="23"/>
  <c r="Q16" i="23"/>
  <c r="Z190" i="23"/>
  <c r="AC189" i="23"/>
  <c r="K436" i="23"/>
  <c r="AG492" i="23"/>
  <c r="AH484" i="23"/>
  <c r="W213" i="23"/>
  <c r="B52" i="10"/>
  <c r="N21" i="10"/>
  <c r="I66" i="23"/>
  <c r="J65" i="23"/>
  <c r="K65" i="23" s="1"/>
  <c r="K238" i="23"/>
  <c r="F12" i="10"/>
  <c r="C70" i="10"/>
  <c r="W287" i="23"/>
  <c r="U189" i="23"/>
  <c r="V188" i="23"/>
  <c r="W188" i="23" s="1"/>
  <c r="U272" i="23"/>
  <c r="V272" i="23" s="1"/>
  <c r="V271" i="23"/>
  <c r="U442" i="23"/>
  <c r="V440" i="23"/>
  <c r="W440" i="23" s="1"/>
  <c r="V537" i="23"/>
  <c r="W537" i="23" s="1"/>
  <c r="U538" i="23"/>
  <c r="U721" i="23"/>
  <c r="V721" i="23" s="1"/>
  <c r="V720" i="23"/>
  <c r="AG339" i="23"/>
  <c r="AH338" i="23"/>
  <c r="AI338" i="23" s="1"/>
  <c r="I490" i="23"/>
  <c r="J490" i="23" s="1"/>
  <c r="J488" i="23"/>
  <c r="M33" i="10"/>
  <c r="J32" i="10"/>
  <c r="O33" i="10" s="1"/>
  <c r="D483" i="23"/>
  <c r="K314" i="23"/>
  <c r="J421" i="23"/>
  <c r="I422" i="23"/>
  <c r="J422" i="23" s="1"/>
  <c r="AI413" i="23"/>
  <c r="AH587" i="23"/>
  <c r="AI587" i="23" s="1"/>
  <c r="AG588" i="23"/>
  <c r="AI613" i="23"/>
  <c r="N216" i="23"/>
  <c r="Q215" i="23"/>
  <c r="Z292" i="23"/>
  <c r="Z148" i="23"/>
  <c r="AC143" i="23"/>
  <c r="AI143" i="23" s="1"/>
  <c r="B71" i="23"/>
  <c r="Z421" i="23"/>
  <c r="N756" i="23"/>
  <c r="AI737" i="23"/>
  <c r="J14" i="10"/>
  <c r="O15" i="10" s="1"/>
  <c r="M15" i="10"/>
  <c r="K64" i="23"/>
  <c r="J152" i="23"/>
  <c r="I157" i="23"/>
  <c r="J157" i="23" s="1"/>
  <c r="I153" i="23"/>
  <c r="J153" i="23" s="1"/>
  <c r="J148" i="23"/>
  <c r="V313" i="23"/>
  <c r="W313" i="23" s="1"/>
  <c r="U314" i="23"/>
  <c r="O23" i="10"/>
  <c r="K22" i="10"/>
  <c r="U91" i="23"/>
  <c r="V90" i="23"/>
  <c r="W90" i="23" s="1"/>
  <c r="AE460" i="23"/>
  <c r="AH439" i="23"/>
  <c r="J588" i="23"/>
  <c r="I589" i="23"/>
  <c r="W436" i="23"/>
  <c r="W187" i="23"/>
  <c r="W536" i="23"/>
  <c r="AI337" i="23"/>
  <c r="E587" i="23"/>
  <c r="C588" i="23"/>
  <c r="AB265" i="23"/>
  <c r="AC264" i="23"/>
  <c r="AI264" i="23" s="1"/>
  <c r="V75" i="23"/>
  <c r="J315" i="23"/>
  <c r="K315" i="23" s="1"/>
  <c r="I316" i="23"/>
  <c r="J316" i="23" s="1"/>
  <c r="B366" i="23"/>
  <c r="E365" i="23"/>
  <c r="AI16" i="23"/>
  <c r="C715" i="23"/>
  <c r="E714" i="23"/>
  <c r="Q67" i="23"/>
  <c r="N70" i="23"/>
  <c r="Q69" i="23"/>
  <c r="W69" i="23" s="1"/>
  <c r="V398" i="23"/>
  <c r="I743" i="23"/>
  <c r="J741" i="23"/>
  <c r="B741" i="23"/>
  <c r="E739" i="23"/>
  <c r="K739" i="23" s="1"/>
  <c r="M17" i="10"/>
  <c r="J16" i="10"/>
  <c r="O17" i="10" s="1"/>
  <c r="P741" i="23"/>
  <c r="Q739" i="23"/>
  <c r="W739" i="23" s="1"/>
  <c r="J40" i="23"/>
  <c r="K40" i="23" s="1"/>
  <c r="I41" i="23"/>
  <c r="W118" i="23"/>
  <c r="AG190" i="23"/>
  <c r="AH189" i="23"/>
  <c r="K262" i="23"/>
  <c r="AH512" i="23"/>
  <c r="AI512" i="23" s="1"/>
  <c r="AG513" i="23"/>
  <c r="AI536" i="23"/>
  <c r="U613" i="23"/>
  <c r="V612" i="23"/>
  <c r="W612" i="23" s="1"/>
  <c r="J10" i="10"/>
  <c r="M11" i="10"/>
  <c r="V15" i="23"/>
  <c r="W15" i="23" s="1"/>
  <c r="U16" i="23"/>
  <c r="W312" i="23"/>
  <c r="AG442" i="23"/>
  <c r="AH440" i="23"/>
  <c r="U713" i="23"/>
  <c r="V712" i="23"/>
  <c r="W712" i="23" s="1"/>
  <c r="AG49" i="23"/>
  <c r="AH49" i="23" s="1"/>
  <c r="AH48" i="23"/>
  <c r="U172" i="23"/>
  <c r="V172" i="23" s="1"/>
  <c r="U132" i="23"/>
  <c r="V127" i="23"/>
  <c r="Q239" i="23"/>
  <c r="W239" i="23" s="1"/>
  <c r="AH438" i="23"/>
  <c r="K587" i="23"/>
  <c r="AA91" i="23"/>
  <c r="AC90" i="23"/>
  <c r="AI90" i="23" s="1"/>
  <c r="Z214" i="23"/>
  <c r="AC213" i="23"/>
  <c r="AI213" i="23" s="1"/>
  <c r="U364" i="23"/>
  <c r="V363" i="23"/>
  <c r="W363" i="23" s="1"/>
  <c r="J389" i="23"/>
  <c r="I390" i="23"/>
  <c r="Z442" i="23"/>
  <c r="AC440" i="23"/>
  <c r="I688" i="23"/>
  <c r="J687" i="23"/>
  <c r="K687" i="23" s="1"/>
  <c r="I155" i="23"/>
  <c r="J155" i="23" s="1"/>
  <c r="J150" i="23"/>
  <c r="W262" i="23"/>
  <c r="K337" i="23"/>
  <c r="Z390" i="23"/>
  <c r="AC389" i="23"/>
  <c r="U515" i="23"/>
  <c r="V515" i="23" s="1"/>
  <c r="V514" i="23"/>
  <c r="W514" i="23" s="1"/>
  <c r="V620" i="23"/>
  <c r="U621" i="23"/>
  <c r="V621" i="23" s="1"/>
  <c r="Q263" i="23"/>
  <c r="N264" i="23"/>
  <c r="AG455" i="23"/>
  <c r="AH447" i="23"/>
  <c r="J44" i="10"/>
  <c r="O93" i="23"/>
  <c r="Q92" i="23"/>
  <c r="P290" i="23"/>
  <c r="Q289" i="23"/>
  <c r="W338" i="23"/>
  <c r="D689" i="23"/>
  <c r="E688" i="23"/>
  <c r="N693" i="23"/>
  <c r="W587" i="23"/>
  <c r="AG135" i="23"/>
  <c r="AH130" i="23"/>
  <c r="AI128" i="23" s="1"/>
  <c r="K387" i="23"/>
  <c r="B717" i="23"/>
  <c r="B133" i="23"/>
  <c r="E128" i="23"/>
  <c r="AG18" i="23"/>
  <c r="AH18" i="23" s="1"/>
  <c r="AH17" i="23"/>
  <c r="AI17" i="23" s="1"/>
  <c r="AI479" i="23"/>
  <c r="B217" i="23"/>
  <c r="E216" i="23"/>
  <c r="C416" i="23"/>
  <c r="E415" i="23"/>
  <c r="N366" i="23"/>
  <c r="Q365" i="23"/>
  <c r="Z692" i="23"/>
  <c r="K713" i="23"/>
  <c r="E639" i="23"/>
  <c r="B640" i="23"/>
  <c r="Q590" i="23"/>
  <c r="AH373" i="23"/>
  <c r="O485" i="23"/>
  <c r="Z70" i="23"/>
  <c r="B671" i="23"/>
  <c r="B694" i="23"/>
  <c r="N245" i="23"/>
  <c r="E518" i="23"/>
  <c r="B519" i="23"/>
  <c r="P646" i="23"/>
  <c r="V40" i="23"/>
  <c r="W40" i="23" s="1"/>
  <c r="U41" i="23"/>
  <c r="W413" i="23"/>
  <c r="V423" i="23"/>
  <c r="AG521" i="23"/>
  <c r="AH521" i="23" s="1"/>
  <c r="AH520" i="23"/>
  <c r="K561" i="23"/>
  <c r="J474" i="23"/>
  <c r="K473" i="23" s="1"/>
  <c r="G497" i="23"/>
  <c r="H47" i="10"/>
  <c r="J47" i="10" s="1"/>
  <c r="I478" i="23"/>
  <c r="J476" i="23"/>
  <c r="K475" i="23" s="1"/>
  <c r="AI637" i="23"/>
  <c r="W89" i="23"/>
  <c r="I513" i="23"/>
  <c r="J512" i="23"/>
  <c r="K512" i="23" s="1"/>
  <c r="J23" i="23"/>
  <c r="I24" i="23"/>
  <c r="J24" i="23" s="1"/>
  <c r="K586" i="23"/>
  <c r="J638" i="23"/>
  <c r="K638" i="23" s="1"/>
  <c r="I639" i="23"/>
  <c r="AI262" i="23"/>
  <c r="W686" i="23"/>
  <c r="B540" i="23"/>
  <c r="AI687" i="23"/>
  <c r="C44" i="23"/>
  <c r="E43" i="23"/>
  <c r="U459" i="23"/>
  <c r="V459" i="23" s="1"/>
  <c r="V457" i="23"/>
  <c r="Z19" i="23"/>
  <c r="AC18" i="23"/>
  <c r="AI473" i="23"/>
  <c r="P391" i="23"/>
  <c r="V215" i="23"/>
  <c r="U216" i="23"/>
  <c r="V216" i="23" s="1"/>
  <c r="AG493" i="23"/>
  <c r="AH491" i="23"/>
  <c r="Q68" i="23"/>
  <c r="W68" i="23" s="1"/>
  <c r="J758" i="23"/>
  <c r="I760" i="23"/>
  <c r="J760" i="23" s="1"/>
  <c r="K14" i="10"/>
  <c r="K737" i="23"/>
  <c r="K14" i="23"/>
  <c r="J239" i="23"/>
  <c r="K239" i="23" s="1"/>
  <c r="I240" i="23"/>
  <c r="AG538" i="23"/>
  <c r="AH537" i="23"/>
  <c r="AI537" i="23" s="1"/>
  <c r="U289" i="23"/>
  <c r="V288" i="23"/>
  <c r="W288" i="23" s="1"/>
  <c r="J439" i="23"/>
  <c r="K438" i="23" s="1"/>
  <c r="H43" i="10"/>
  <c r="J43" i="10" s="1"/>
  <c r="G460" i="23"/>
  <c r="K511" i="23"/>
  <c r="AG290" i="23"/>
  <c r="AH289" i="23"/>
  <c r="K637" i="23"/>
  <c r="J445" i="23"/>
  <c r="I447" i="23"/>
  <c r="AC263" i="23"/>
  <c r="AI263" i="23" s="1"/>
  <c r="Q714" i="23"/>
  <c r="N715" i="23"/>
  <c r="U664" i="23"/>
  <c r="V663" i="23"/>
  <c r="AB415" i="23"/>
  <c r="AC414" i="23"/>
  <c r="AI414" i="23" s="1"/>
  <c r="AI586" i="23"/>
  <c r="B317" i="23"/>
  <c r="E316" i="23"/>
  <c r="B565" i="23"/>
  <c r="E564" i="23"/>
  <c r="Q591" i="23"/>
  <c r="W591" i="23" s="1"/>
  <c r="N592" i="23"/>
  <c r="B294" i="23"/>
  <c r="Z343" i="23"/>
  <c r="AC342" i="23"/>
  <c r="AI342" i="23" s="1"/>
  <c r="Z669" i="23"/>
  <c r="Z570" i="23"/>
  <c r="W39" i="23"/>
  <c r="W737" i="23"/>
  <c r="K39" i="23"/>
  <c r="AH98" i="23"/>
  <c r="AG99" i="23"/>
  <c r="AH99" i="23" s="1"/>
  <c r="AI188" i="23"/>
  <c r="J263" i="23"/>
  <c r="K263" i="23" s="1"/>
  <c r="I264" i="23"/>
  <c r="J45" i="10"/>
  <c r="K44" i="10" s="1"/>
  <c r="AI511" i="23"/>
  <c r="I563" i="23"/>
  <c r="J562" i="23"/>
  <c r="K562" i="23" s="1"/>
  <c r="W611" i="23"/>
  <c r="M63" i="10"/>
  <c r="J62" i="10"/>
  <c r="K62" i="10" s="1"/>
  <c r="W14" i="23"/>
  <c r="U169" i="23"/>
  <c r="V169" i="23" s="1"/>
  <c r="U129" i="23"/>
  <c r="V124" i="23"/>
  <c r="J40" i="10"/>
  <c r="K40" i="10" s="1"/>
  <c r="AI436" i="23"/>
  <c r="Z639" i="23"/>
  <c r="AC638" i="23"/>
  <c r="AI638" i="23" s="1"/>
  <c r="W711" i="23"/>
  <c r="U297" i="23"/>
  <c r="V297" i="23" s="1"/>
  <c r="V296" i="23"/>
  <c r="K56" i="10"/>
  <c r="AI89" i="23"/>
  <c r="AI212" i="23"/>
  <c r="W362" i="23"/>
  <c r="K686" i="23"/>
  <c r="V263" i="23"/>
  <c r="U264" i="23"/>
  <c r="C339" i="23"/>
  <c r="E338" i="23"/>
  <c r="K338" i="23" s="1"/>
  <c r="AC388" i="23"/>
  <c r="AI388" i="23" s="1"/>
  <c r="B442" i="23"/>
  <c r="E440" i="23"/>
  <c r="K440" i="23" s="1"/>
  <c r="W513" i="23"/>
  <c r="K312" i="23"/>
  <c r="N540" i="23"/>
  <c r="Q539" i="23"/>
  <c r="AB665" i="23"/>
  <c r="AC664" i="23"/>
  <c r="AI664" i="23" s="1"/>
  <c r="AH647" i="23"/>
  <c r="O689" i="23"/>
  <c r="Q688" i="23"/>
  <c r="N614" i="23"/>
  <c r="Q613" i="23"/>
  <c r="I133" i="23"/>
  <c r="J128" i="23"/>
  <c r="AH688" i="23"/>
  <c r="AI688" i="23" s="1"/>
  <c r="AG689" i="23"/>
  <c r="Z316" i="23"/>
  <c r="O342" i="23"/>
  <c r="Q341" i="23"/>
  <c r="E388" i="23"/>
  <c r="K388" i="23" s="1"/>
  <c r="C389" i="23"/>
  <c r="B615" i="23"/>
  <c r="J20" i="10"/>
  <c r="Z483" i="23"/>
  <c r="AC481" i="23"/>
  <c r="AI481" i="23" s="1"/>
  <c r="AH614" i="23"/>
  <c r="AG615" i="23"/>
  <c r="AH615" i="23" s="1"/>
  <c r="B590" i="23"/>
  <c r="W238" i="23"/>
  <c r="E42" i="23"/>
  <c r="W67" i="23"/>
  <c r="W214" i="23"/>
  <c r="B344" i="23"/>
  <c r="I540" i="23"/>
  <c r="J540" i="23" s="1"/>
  <c r="J539" i="23"/>
  <c r="O417" i="23"/>
  <c r="Q416" i="23"/>
  <c r="W416" i="23" s="1"/>
  <c r="N294" i="23"/>
  <c r="Z269" i="23"/>
  <c r="N98" i="23"/>
  <c r="Z520" i="23"/>
  <c r="B394" i="23"/>
  <c r="V223" i="23" l="1"/>
  <c r="Q415" i="23"/>
  <c r="W415" i="23" s="1"/>
  <c r="V688" i="23"/>
  <c r="W688" i="23" s="1"/>
  <c r="U689" i="23"/>
  <c r="U564" i="23"/>
  <c r="V563" i="23"/>
  <c r="AC715" i="23"/>
  <c r="Z716" i="23"/>
  <c r="U746" i="23"/>
  <c r="V744" i="23"/>
  <c r="J126" i="23"/>
  <c r="I131" i="23"/>
  <c r="I171" i="23"/>
  <c r="J171" i="23" s="1"/>
  <c r="Z365" i="23"/>
  <c r="AC364" i="23"/>
  <c r="AI364" i="23" s="1"/>
  <c r="U590" i="23"/>
  <c r="V590" i="23" s="1"/>
  <c r="W590" i="23" s="1"/>
  <c r="V589" i="23"/>
  <c r="J365" i="23"/>
  <c r="I366" i="23"/>
  <c r="J366" i="23" s="1"/>
  <c r="AG43" i="23"/>
  <c r="AH43" i="23" s="1"/>
  <c r="AH42" i="23"/>
  <c r="B191" i="23"/>
  <c r="E190" i="23"/>
  <c r="I715" i="23"/>
  <c r="J715" i="23" s="1"/>
  <c r="J714" i="23"/>
  <c r="AH415" i="23"/>
  <c r="AG416" i="23"/>
  <c r="AH416" i="23" s="1"/>
  <c r="Q664" i="23"/>
  <c r="N665" i="23"/>
  <c r="J444" i="23"/>
  <c r="I446" i="23"/>
  <c r="C290" i="23"/>
  <c r="E289" i="23"/>
  <c r="K289" i="23" s="1"/>
  <c r="E265" i="23"/>
  <c r="B266" i="23"/>
  <c r="E666" i="23"/>
  <c r="K666" i="23" s="1"/>
  <c r="C667" i="23"/>
  <c r="W477" i="23"/>
  <c r="AA315" i="23"/>
  <c r="AC314" i="23"/>
  <c r="AI314" i="23" s="1"/>
  <c r="I614" i="23"/>
  <c r="J613" i="23"/>
  <c r="I139" i="23"/>
  <c r="J139" i="23" s="1"/>
  <c r="J134" i="23"/>
  <c r="M43" i="10"/>
  <c r="AI389" i="23"/>
  <c r="AI438" i="23"/>
  <c r="H70" i="10"/>
  <c r="AI189" i="23"/>
  <c r="N18" i="23"/>
  <c r="Q17" i="23"/>
  <c r="B21" i="23"/>
  <c r="E20" i="23"/>
  <c r="AB690" i="23"/>
  <c r="AC689" i="23"/>
  <c r="AA240" i="23"/>
  <c r="AC239" i="23"/>
  <c r="AI239" i="23" s="1"/>
  <c r="Z615" i="23"/>
  <c r="AC614" i="23"/>
  <c r="N390" i="23"/>
  <c r="Q389" i="23"/>
  <c r="W389" i="23" s="1"/>
  <c r="I757" i="23"/>
  <c r="J755" i="23"/>
  <c r="E92" i="23"/>
  <c r="K92" i="23" s="1"/>
  <c r="B93" i="23"/>
  <c r="AG744" i="23"/>
  <c r="AH742" i="23"/>
  <c r="AI741" i="23" s="1"/>
  <c r="J340" i="23"/>
  <c r="J348" i="23" s="1"/>
  <c r="I341" i="23"/>
  <c r="J341" i="23" s="1"/>
  <c r="AG391" i="23"/>
  <c r="AH391" i="23" s="1"/>
  <c r="AH390" i="23"/>
  <c r="AH398" i="23" s="1"/>
  <c r="Q138" i="23"/>
  <c r="N143" i="23"/>
  <c r="V131" i="23"/>
  <c r="U136" i="23"/>
  <c r="AC753" i="23"/>
  <c r="Z756" i="23"/>
  <c r="AB290" i="23"/>
  <c r="AC289" i="23"/>
  <c r="AI289" i="23" s="1"/>
  <c r="K214" i="23"/>
  <c r="E241" i="23"/>
  <c r="B242" i="23"/>
  <c r="P481" i="23"/>
  <c r="Q479" i="23"/>
  <c r="Q317" i="23"/>
  <c r="W317" i="23" s="1"/>
  <c r="J483" i="23"/>
  <c r="I491" i="23"/>
  <c r="AH492" i="23"/>
  <c r="AG494" i="23"/>
  <c r="Q563" i="23"/>
  <c r="W563" i="23" s="1"/>
  <c r="N564" i="23"/>
  <c r="B481" i="23"/>
  <c r="E479" i="23"/>
  <c r="Q515" i="23"/>
  <c r="N516" i="23"/>
  <c r="V339" i="23"/>
  <c r="W339" i="23" s="1"/>
  <c r="U340" i="23"/>
  <c r="Q43" i="23"/>
  <c r="N44" i="23"/>
  <c r="N640" i="23"/>
  <c r="Q639" i="23"/>
  <c r="N191" i="23"/>
  <c r="Q190" i="23"/>
  <c r="Z540" i="23"/>
  <c r="AC539" i="23"/>
  <c r="I216" i="23"/>
  <c r="J216" i="23" s="1"/>
  <c r="K216" i="23" s="1"/>
  <c r="J215" i="23"/>
  <c r="K215" i="23" s="1"/>
  <c r="AH564" i="23"/>
  <c r="AG565" i="23"/>
  <c r="AH565" i="23" s="1"/>
  <c r="C539" i="23"/>
  <c r="E538" i="23"/>
  <c r="K538" i="23" s="1"/>
  <c r="Z244" i="23"/>
  <c r="C68" i="23"/>
  <c r="E67" i="23"/>
  <c r="Q318" i="23"/>
  <c r="W318" i="23" s="1"/>
  <c r="N319" i="23"/>
  <c r="AH714" i="23"/>
  <c r="AG715" i="23"/>
  <c r="AH715" i="23" s="1"/>
  <c r="AI715" i="23" s="1"/>
  <c r="O446" i="23"/>
  <c r="Q444" i="23"/>
  <c r="AG316" i="23"/>
  <c r="AH316" i="23" s="1"/>
  <c r="AH315" i="23"/>
  <c r="J127" i="23"/>
  <c r="K123" i="23" s="1"/>
  <c r="I172" i="23"/>
  <c r="J172" i="23" s="1"/>
  <c r="I132" i="23"/>
  <c r="V522" i="23"/>
  <c r="W263" i="23"/>
  <c r="K365" i="23"/>
  <c r="AC190" i="23"/>
  <c r="Z191" i="23"/>
  <c r="V479" i="23"/>
  <c r="U481" i="23"/>
  <c r="AG216" i="23"/>
  <c r="AH216" i="23" s="1"/>
  <c r="AH215" i="23"/>
  <c r="Z43" i="23"/>
  <c r="AC42" i="23"/>
  <c r="AG266" i="23"/>
  <c r="AH266" i="23" s="1"/>
  <c r="AH265" i="23"/>
  <c r="AH273" i="23" s="1"/>
  <c r="AI41" i="23"/>
  <c r="AH423" i="23"/>
  <c r="AC590" i="23"/>
  <c r="Z591" i="23"/>
  <c r="AB564" i="23"/>
  <c r="AC563" i="23"/>
  <c r="J189" i="23"/>
  <c r="K189" i="23" s="1"/>
  <c r="I190" i="23"/>
  <c r="N454" i="23"/>
  <c r="V248" i="23"/>
  <c r="C614" i="23"/>
  <c r="E613" i="23"/>
  <c r="K24" i="10"/>
  <c r="AB515" i="23"/>
  <c r="AC514" i="23"/>
  <c r="AA68" i="23"/>
  <c r="AC67" i="23"/>
  <c r="AI67" i="23"/>
  <c r="I140" i="23"/>
  <c r="J140" i="23" s="1"/>
  <c r="J135" i="23"/>
  <c r="K612" i="23"/>
  <c r="V482" i="23"/>
  <c r="U484" i="23"/>
  <c r="K26" i="10"/>
  <c r="AC483" i="23"/>
  <c r="Z485" i="23"/>
  <c r="O21" i="10"/>
  <c r="K20" i="10"/>
  <c r="B616" i="23"/>
  <c r="V129" i="23"/>
  <c r="U134" i="23"/>
  <c r="AG539" i="23"/>
  <c r="AH538" i="23"/>
  <c r="B695" i="23"/>
  <c r="J547" i="23"/>
  <c r="D690" i="23"/>
  <c r="E689" i="23"/>
  <c r="O94" i="23"/>
  <c r="Q93" i="23"/>
  <c r="P241" i="23"/>
  <c r="Q240" i="23"/>
  <c r="W240" i="23" s="1"/>
  <c r="J743" i="23"/>
  <c r="I745" i="23"/>
  <c r="J745" i="23" s="1"/>
  <c r="Q70" i="23"/>
  <c r="W70" i="23" s="1"/>
  <c r="N71" i="23"/>
  <c r="AH25" i="23"/>
  <c r="AG340" i="23"/>
  <c r="AH339" i="23"/>
  <c r="V538" i="23"/>
  <c r="U539" i="23"/>
  <c r="U190" i="23"/>
  <c r="V189" i="23"/>
  <c r="I67" i="23"/>
  <c r="J66" i="23"/>
  <c r="N295" i="23"/>
  <c r="O690" i="23"/>
  <c r="Q689" i="23"/>
  <c r="I564" i="23"/>
  <c r="J563" i="23"/>
  <c r="K563" i="23" s="1"/>
  <c r="Z571" i="23"/>
  <c r="B566" i="23"/>
  <c r="E565" i="23"/>
  <c r="W663" i="23"/>
  <c r="I455" i="23"/>
  <c r="J447" i="23"/>
  <c r="J240" i="23"/>
  <c r="I241" i="23"/>
  <c r="J241" i="23" s="1"/>
  <c r="K241" i="23" s="1"/>
  <c r="P392" i="23"/>
  <c r="I480" i="23"/>
  <c r="J478" i="23"/>
  <c r="AI18" i="23"/>
  <c r="AC442" i="23"/>
  <c r="Z444" i="23"/>
  <c r="AG191" i="23"/>
  <c r="AH191" i="23" s="1"/>
  <c r="AH190" i="23"/>
  <c r="B367" i="23"/>
  <c r="E366" i="23"/>
  <c r="K366" i="23" s="1"/>
  <c r="C589" i="23"/>
  <c r="E588" i="23"/>
  <c r="K588" i="23" s="1"/>
  <c r="I590" i="23"/>
  <c r="J590" i="23" s="1"/>
  <c r="J589" i="23"/>
  <c r="N217" i="23"/>
  <c r="Q216" i="23"/>
  <c r="W216" i="23" s="1"/>
  <c r="K12" i="10"/>
  <c r="F70" i="10"/>
  <c r="O418" i="23"/>
  <c r="Q417" i="23"/>
  <c r="B345" i="23"/>
  <c r="B591" i="23"/>
  <c r="C340" i="23"/>
  <c r="E339" i="23"/>
  <c r="K339" i="23" s="1"/>
  <c r="J264" i="23"/>
  <c r="K264" i="23" s="1"/>
  <c r="I265" i="23"/>
  <c r="B295" i="23"/>
  <c r="N593" i="23"/>
  <c r="Q592" i="23"/>
  <c r="AB416" i="23"/>
  <c r="AC415" i="23"/>
  <c r="AI415" i="23" s="1"/>
  <c r="U665" i="23"/>
  <c r="V665" i="23" s="1"/>
  <c r="V664" i="23"/>
  <c r="AG291" i="23"/>
  <c r="AH291" i="23" s="1"/>
  <c r="AH290" i="23"/>
  <c r="V289" i="23"/>
  <c r="W289" i="23" s="1"/>
  <c r="U290" i="23"/>
  <c r="W215" i="23"/>
  <c r="I640" i="23"/>
  <c r="J640" i="23" s="1"/>
  <c r="J639" i="23"/>
  <c r="K16" i="10"/>
  <c r="V41" i="23"/>
  <c r="U42" i="23"/>
  <c r="K518" i="23"/>
  <c r="N246" i="23"/>
  <c r="Z71" i="23"/>
  <c r="O487" i="23"/>
  <c r="B641" i="23"/>
  <c r="E640" i="23"/>
  <c r="Q366" i="23"/>
  <c r="N367" i="23"/>
  <c r="AG140" i="23"/>
  <c r="AH140" i="23" s="1"/>
  <c r="AI138" i="23" s="1"/>
  <c r="AH135" i="23"/>
  <c r="AI133" i="23" s="1"/>
  <c r="N694" i="23"/>
  <c r="P291" i="23"/>
  <c r="Q290" i="23"/>
  <c r="M47" i="10"/>
  <c r="N265" i="23"/>
  <c r="Q264" i="23"/>
  <c r="AC390" i="23"/>
  <c r="Z391" i="23"/>
  <c r="K32" i="10"/>
  <c r="U365" i="23"/>
  <c r="V364" i="23"/>
  <c r="W364" i="23" s="1"/>
  <c r="V132" i="23"/>
  <c r="U137" i="23"/>
  <c r="AI440" i="23"/>
  <c r="M70" i="10"/>
  <c r="V613" i="23"/>
  <c r="W613" i="23" s="1"/>
  <c r="U614" i="23"/>
  <c r="AG514" i="23"/>
  <c r="AH513" i="23"/>
  <c r="B743" i="23"/>
  <c r="E741" i="23"/>
  <c r="K741" i="23" s="1"/>
  <c r="K316" i="23"/>
  <c r="N758" i="23"/>
  <c r="Z422" i="23"/>
  <c r="AH622" i="23"/>
  <c r="J323" i="23"/>
  <c r="N99" i="23"/>
  <c r="Z317" i="23"/>
  <c r="Q715" i="23"/>
  <c r="N716" i="23"/>
  <c r="AH493" i="23"/>
  <c r="AG495" i="23"/>
  <c r="AH495" i="23" s="1"/>
  <c r="B541" i="23"/>
  <c r="Z693" i="23"/>
  <c r="AH455" i="23"/>
  <c r="AG457" i="23"/>
  <c r="J688" i="23"/>
  <c r="I689" i="23"/>
  <c r="P743" i="23"/>
  <c r="Q741" i="23"/>
  <c r="U315" i="23"/>
  <c r="V314" i="23"/>
  <c r="W314" i="23" s="1"/>
  <c r="Z293" i="23"/>
  <c r="AG589" i="23"/>
  <c r="AH588" i="23"/>
  <c r="C390" i="23"/>
  <c r="E389" i="23"/>
  <c r="K389" i="23" s="1"/>
  <c r="AG690" i="23"/>
  <c r="AH690" i="23" s="1"/>
  <c r="AH689" i="23"/>
  <c r="Q614" i="23"/>
  <c r="N615" i="23"/>
  <c r="AB666" i="23"/>
  <c r="AC665" i="23"/>
  <c r="AI665" i="23" s="1"/>
  <c r="Z344" i="23"/>
  <c r="AC343" i="23"/>
  <c r="AI343" i="23" s="1"/>
  <c r="Z20" i="23"/>
  <c r="AC19" i="23"/>
  <c r="AI19" i="23" s="1"/>
  <c r="B520" i="23"/>
  <c r="E519" i="23"/>
  <c r="K519" i="23" s="1"/>
  <c r="C417" i="23"/>
  <c r="E416" i="23"/>
  <c r="K416" i="23" s="1"/>
  <c r="B718" i="23"/>
  <c r="AC214" i="23"/>
  <c r="AI214" i="23" s="1"/>
  <c r="Z215" i="23"/>
  <c r="J41" i="23"/>
  <c r="I42" i="23"/>
  <c r="K415" i="23"/>
  <c r="B72" i="23"/>
  <c r="AC148" i="23"/>
  <c r="AI148" i="23" s="1"/>
  <c r="Z153" i="23"/>
  <c r="D485" i="23"/>
  <c r="B395" i="23"/>
  <c r="Z521" i="23"/>
  <c r="Z270" i="23"/>
  <c r="O343" i="23"/>
  <c r="Q342" i="23"/>
  <c r="I138" i="23"/>
  <c r="J138" i="23" s="1"/>
  <c r="J133" i="23"/>
  <c r="N541" i="23"/>
  <c r="Q540" i="23"/>
  <c r="B444" i="23"/>
  <c r="E442" i="23"/>
  <c r="U265" i="23"/>
  <c r="V264" i="23"/>
  <c r="Z640" i="23"/>
  <c r="AC639" i="23"/>
  <c r="W123" i="23"/>
  <c r="AH100" i="23"/>
  <c r="Z670" i="23"/>
  <c r="B318" i="23"/>
  <c r="E317" i="23"/>
  <c r="C45" i="23"/>
  <c r="E44" i="23"/>
  <c r="K44" i="23" s="1"/>
  <c r="I514" i="23"/>
  <c r="J513" i="23"/>
  <c r="J423" i="23"/>
  <c r="E217" i="23"/>
  <c r="B218" i="23"/>
  <c r="E133" i="23"/>
  <c r="B138" i="23"/>
  <c r="I391" i="23"/>
  <c r="J391" i="23" s="1"/>
  <c r="J390" i="23"/>
  <c r="AA92" i="23"/>
  <c r="AC91" i="23"/>
  <c r="V713" i="23"/>
  <c r="U714" i="23"/>
  <c r="AH442" i="23"/>
  <c r="AG444" i="23"/>
  <c r="V16" i="23"/>
  <c r="W16" i="23" s="1"/>
  <c r="U17" i="23"/>
  <c r="O11" i="10"/>
  <c r="J70" i="10"/>
  <c r="K10" i="10"/>
  <c r="C716" i="23"/>
  <c r="E715" i="23"/>
  <c r="AB266" i="23"/>
  <c r="AC265" i="23"/>
  <c r="U92" i="23"/>
  <c r="V91" i="23"/>
  <c r="U444" i="23"/>
  <c r="V442" i="23"/>
  <c r="J25" i="23"/>
  <c r="V746" i="23" l="1"/>
  <c r="U749" i="23"/>
  <c r="I136" i="23"/>
  <c r="J131" i="23"/>
  <c r="AC716" i="23"/>
  <c r="AI716" i="23" s="1"/>
  <c r="Z717" i="23"/>
  <c r="U565" i="23"/>
  <c r="V565" i="23" s="1"/>
  <c r="V564" i="23"/>
  <c r="V572" i="23" s="1"/>
  <c r="AH223" i="23"/>
  <c r="U690" i="23"/>
  <c r="V690" i="23" s="1"/>
  <c r="V689" i="23"/>
  <c r="AI714" i="23"/>
  <c r="AH722" i="23"/>
  <c r="C69" i="23"/>
  <c r="E68" i="23"/>
  <c r="C540" i="23"/>
  <c r="E539" i="23"/>
  <c r="K539" i="23" s="1"/>
  <c r="B483" i="23"/>
  <c r="E481" i="23"/>
  <c r="AI563" i="23"/>
  <c r="C291" i="23"/>
  <c r="E290" i="23"/>
  <c r="K290" i="23" s="1"/>
  <c r="N666" i="23"/>
  <c r="Q665" i="23"/>
  <c r="AI42" i="23"/>
  <c r="W515" i="23"/>
  <c r="AB516" i="23"/>
  <c r="AC515" i="23"/>
  <c r="AB565" i="23"/>
  <c r="AC564" i="23"/>
  <c r="AC43" i="23"/>
  <c r="AI43" i="23" s="1"/>
  <c r="Z44" i="23"/>
  <c r="W479" i="23"/>
  <c r="N320" i="23"/>
  <c r="Q319" i="23"/>
  <c r="W319" i="23" s="1"/>
  <c r="Z245" i="23"/>
  <c r="U341" i="23"/>
  <c r="V341" i="23" s="1"/>
  <c r="W341" i="23" s="1"/>
  <c r="V340" i="23"/>
  <c r="J491" i="23"/>
  <c r="I493" i="23"/>
  <c r="P483" i="23"/>
  <c r="Q481" i="23"/>
  <c r="AB291" i="23"/>
  <c r="AC290" i="23"/>
  <c r="AI290" i="23" s="1"/>
  <c r="AG746" i="23"/>
  <c r="AH744" i="23"/>
  <c r="AI743" i="23" s="1"/>
  <c r="J757" i="23"/>
  <c r="I759" i="23"/>
  <c r="AC615" i="23"/>
  <c r="AI615" i="23" s="1"/>
  <c r="Z616" i="23"/>
  <c r="AB691" i="23"/>
  <c r="AC690" i="23"/>
  <c r="AI690" i="23" s="1"/>
  <c r="N19" i="23"/>
  <c r="Q18" i="23"/>
  <c r="E266" i="23"/>
  <c r="B267" i="23"/>
  <c r="AI614" i="23"/>
  <c r="AH50" i="23"/>
  <c r="W264" i="23"/>
  <c r="C615" i="23"/>
  <c r="E614" i="23"/>
  <c r="J190" i="23"/>
  <c r="I191" i="23"/>
  <c r="J191" i="23" s="1"/>
  <c r="Z592" i="23"/>
  <c r="AC591" i="23"/>
  <c r="AI591" i="23" s="1"/>
  <c r="AC191" i="23"/>
  <c r="Z192" i="23"/>
  <c r="J132" i="23"/>
  <c r="I137" i="23"/>
  <c r="O448" i="23"/>
  <c r="Q446" i="23"/>
  <c r="AI564" i="23"/>
  <c r="AH572" i="23"/>
  <c r="AC540" i="23"/>
  <c r="Z541" i="23"/>
  <c r="Q640" i="23"/>
  <c r="W640" i="23" s="1"/>
  <c r="N641" i="23"/>
  <c r="E242" i="23"/>
  <c r="K242" i="23" s="1"/>
  <c r="B243" i="23"/>
  <c r="AC756" i="23"/>
  <c r="Z758" i="23"/>
  <c r="Q143" i="23"/>
  <c r="W143" i="23" s="1"/>
  <c r="N148" i="23"/>
  <c r="B94" i="23"/>
  <c r="E93" i="23"/>
  <c r="K20" i="23"/>
  <c r="K613" i="23"/>
  <c r="I454" i="23"/>
  <c r="J446" i="23"/>
  <c r="J722" i="23"/>
  <c r="K714" i="23"/>
  <c r="W665" i="23"/>
  <c r="U492" i="23"/>
  <c r="V484" i="23"/>
  <c r="N456" i="23"/>
  <c r="U483" i="23"/>
  <c r="V481" i="23"/>
  <c r="W481" i="23" s="1"/>
  <c r="Q191" i="23"/>
  <c r="N192" i="23"/>
  <c r="AH494" i="23"/>
  <c r="AH497" i="23" s="1"/>
  <c r="AG496" i="23"/>
  <c r="AH496" i="23" s="1"/>
  <c r="V136" i="23"/>
  <c r="U141" i="23"/>
  <c r="V141" i="23" s="1"/>
  <c r="V597" i="23"/>
  <c r="W589" i="23"/>
  <c r="AH298" i="23"/>
  <c r="W639" i="23"/>
  <c r="N565" i="23"/>
  <c r="Q564" i="23"/>
  <c r="W564" i="23" s="1"/>
  <c r="AI390" i="23"/>
  <c r="W664" i="23"/>
  <c r="AI191" i="23"/>
  <c r="AA69" i="23"/>
  <c r="AC68" i="23"/>
  <c r="AI68" i="23" s="1"/>
  <c r="AH323" i="23"/>
  <c r="Q44" i="23"/>
  <c r="W44" i="23" s="1"/>
  <c r="N45" i="23"/>
  <c r="N517" i="23"/>
  <c r="Q516" i="23"/>
  <c r="W516" i="23" s="1"/>
  <c r="J223" i="23"/>
  <c r="N391" i="23"/>
  <c r="Q390" i="23"/>
  <c r="W390" i="23" s="1"/>
  <c r="AA241" i="23"/>
  <c r="AC240" i="23"/>
  <c r="B22" i="23"/>
  <c r="E21" i="23"/>
  <c r="K21" i="23" s="1"/>
  <c r="J614" i="23"/>
  <c r="K614" i="23" s="1"/>
  <c r="I615" i="23"/>
  <c r="J615" i="23" s="1"/>
  <c r="AA316" i="23"/>
  <c r="AC315" i="23"/>
  <c r="AI315" i="23" s="1"/>
  <c r="E667" i="23"/>
  <c r="K667" i="23" s="1"/>
  <c r="C668" i="23"/>
  <c r="B192" i="23"/>
  <c r="E191" i="23"/>
  <c r="J373" i="23"/>
  <c r="Z366" i="23"/>
  <c r="AC365" i="23"/>
  <c r="AI365" i="23" s="1"/>
  <c r="W91" i="23"/>
  <c r="K715" i="23"/>
  <c r="V17" i="23"/>
  <c r="U18" i="23"/>
  <c r="V18" i="23" s="1"/>
  <c r="W18" i="23" s="1"/>
  <c r="AI442" i="23"/>
  <c r="E138" i="23"/>
  <c r="B143" i="23"/>
  <c r="B319" i="23"/>
  <c r="E318" i="23"/>
  <c r="K318" i="23" s="1"/>
  <c r="K442" i="23"/>
  <c r="D487" i="23"/>
  <c r="J42" i="23"/>
  <c r="K42" i="23" s="1"/>
  <c r="I43" i="23"/>
  <c r="J43" i="23" s="1"/>
  <c r="K43" i="23" s="1"/>
  <c r="Z216" i="23"/>
  <c r="AC215" i="23"/>
  <c r="Z345" i="23"/>
  <c r="AC344" i="23"/>
  <c r="W741" i="23"/>
  <c r="I690" i="23"/>
  <c r="J690" i="23" s="1"/>
  <c r="J689" i="23"/>
  <c r="K689" i="23" s="1"/>
  <c r="B745" i="23"/>
  <c r="E743" i="23"/>
  <c r="AI513" i="23"/>
  <c r="P292" i="23"/>
  <c r="Q291" i="23"/>
  <c r="K640" i="23"/>
  <c r="U291" i="23"/>
  <c r="V291" i="23" s="1"/>
  <c r="V290" i="23"/>
  <c r="N594" i="23"/>
  <c r="Q593" i="23"/>
  <c r="W593" i="23" s="1"/>
  <c r="W417" i="23"/>
  <c r="K477" i="23"/>
  <c r="J564" i="23"/>
  <c r="I565" i="23"/>
  <c r="J565" i="23" s="1"/>
  <c r="K565" i="23" s="1"/>
  <c r="V190" i="23"/>
  <c r="W190" i="23" s="1"/>
  <c r="U191" i="23"/>
  <c r="V191" i="23" s="1"/>
  <c r="W191" i="23" s="1"/>
  <c r="Q71" i="23"/>
  <c r="N72" i="23"/>
  <c r="W442" i="23"/>
  <c r="V92" i="23"/>
  <c r="W92" i="23" s="1"/>
  <c r="U93" i="23"/>
  <c r="V93" i="23" s="1"/>
  <c r="W93" i="23" s="1"/>
  <c r="AI265" i="23"/>
  <c r="C717" i="23"/>
  <c r="E716" i="23"/>
  <c r="K716" i="23" s="1"/>
  <c r="K70" i="10"/>
  <c r="K72" i="10" s="1"/>
  <c r="K74" i="10" s="1"/>
  <c r="Q74" i="10" s="1"/>
  <c r="V714" i="23"/>
  <c r="W714" i="23" s="1"/>
  <c r="U715" i="23"/>
  <c r="V715" i="23" s="1"/>
  <c r="W715" i="23" s="1"/>
  <c r="AI91" i="23"/>
  <c r="K513" i="23"/>
  <c r="B446" i="23"/>
  <c r="E444" i="23"/>
  <c r="K444" i="23" s="1"/>
  <c r="W342" i="23"/>
  <c r="Z271" i="23"/>
  <c r="B396" i="23"/>
  <c r="B73" i="23"/>
  <c r="K41" i="23"/>
  <c r="B719" i="23"/>
  <c r="E520" i="23"/>
  <c r="K520" i="23" s="1"/>
  <c r="B521" i="23"/>
  <c r="E521" i="23" s="1"/>
  <c r="K521" i="23" s="1"/>
  <c r="AI689" i="23"/>
  <c r="AH697" i="23"/>
  <c r="Z294" i="23"/>
  <c r="P745" i="23"/>
  <c r="Q743" i="23"/>
  <c r="W743" i="23" s="1"/>
  <c r="K688" i="23"/>
  <c r="Q716" i="23"/>
  <c r="W716" i="23" s="1"/>
  <c r="N717" i="23"/>
  <c r="AH514" i="23"/>
  <c r="AI514" i="23" s="1"/>
  <c r="AG515" i="23"/>
  <c r="AH515" i="23" s="1"/>
  <c r="U142" i="23"/>
  <c r="V142" i="23" s="1"/>
  <c r="V137" i="23"/>
  <c r="B642" i="23"/>
  <c r="E641" i="23"/>
  <c r="K641" i="23" s="1"/>
  <c r="Z72" i="23"/>
  <c r="AB417" i="23"/>
  <c r="AC416" i="23"/>
  <c r="AI416" i="23" s="1"/>
  <c r="O419" i="23"/>
  <c r="Q418" i="23"/>
  <c r="W418" i="23" s="1"/>
  <c r="AI190" i="23"/>
  <c r="AH198" i="23"/>
  <c r="Z446" i="23"/>
  <c r="AC444" i="23"/>
  <c r="I482" i="23"/>
  <c r="J480" i="23"/>
  <c r="K479" i="23" s="1"/>
  <c r="P393" i="23"/>
  <c r="J455" i="23"/>
  <c r="I457" i="23"/>
  <c r="E566" i="23"/>
  <c r="K566" i="23" s="1"/>
  <c r="B567" i="23"/>
  <c r="K66" i="23"/>
  <c r="V539" i="23"/>
  <c r="W539" i="23" s="1"/>
  <c r="U540" i="23"/>
  <c r="V540" i="23" s="1"/>
  <c r="W540" i="23" s="1"/>
  <c r="AI339" i="23"/>
  <c r="P242" i="23"/>
  <c r="Q241" i="23"/>
  <c r="AI538" i="23"/>
  <c r="V444" i="23"/>
  <c r="W444" i="23" s="1"/>
  <c r="U446" i="23"/>
  <c r="AB267" i="23"/>
  <c r="AC266" i="23"/>
  <c r="AI266" i="23" s="1"/>
  <c r="W713" i="23"/>
  <c r="AA93" i="23"/>
  <c r="AC92" i="23"/>
  <c r="AI92" i="23" s="1"/>
  <c r="E218" i="23"/>
  <c r="K218" i="23" s="1"/>
  <c r="B219" i="23"/>
  <c r="I515" i="23"/>
  <c r="J515" i="23" s="1"/>
  <c r="K515" i="23" s="1"/>
  <c r="J514" i="23"/>
  <c r="K514" i="23" s="1"/>
  <c r="C46" i="23"/>
  <c r="E45" i="23"/>
  <c r="Z671" i="23"/>
  <c r="AI639" i="23"/>
  <c r="N542" i="23"/>
  <c r="Q541" i="23"/>
  <c r="W541" i="23" s="1"/>
  <c r="O344" i="23"/>
  <c r="Q343" i="23"/>
  <c r="W343" i="23" s="1"/>
  <c r="AC153" i="23"/>
  <c r="Z158" i="23"/>
  <c r="C391" i="23"/>
  <c r="E390" i="23"/>
  <c r="AI588" i="23"/>
  <c r="V315" i="23"/>
  <c r="U316" i="23"/>
  <c r="V316" i="23" s="1"/>
  <c r="W316" i="23" s="1"/>
  <c r="AH457" i="23"/>
  <c r="AG459" i="23"/>
  <c r="AH459" i="23" s="1"/>
  <c r="B542" i="23"/>
  <c r="V614" i="23"/>
  <c r="U615" i="23"/>
  <c r="V615" i="23" s="1"/>
  <c r="V365" i="23"/>
  <c r="U366" i="23"/>
  <c r="V366" i="23" s="1"/>
  <c r="W366" i="23" s="1"/>
  <c r="Z392" i="23"/>
  <c r="AC391" i="23"/>
  <c r="N695" i="23"/>
  <c r="Q367" i="23"/>
  <c r="W367" i="23" s="1"/>
  <c r="N368" i="23"/>
  <c r="N247" i="23"/>
  <c r="V42" i="23"/>
  <c r="W42" i="23" s="1"/>
  <c r="U43" i="23"/>
  <c r="V43" i="23" s="1"/>
  <c r="W43" i="23" s="1"/>
  <c r="B296" i="23"/>
  <c r="J265" i="23"/>
  <c r="I266" i="23"/>
  <c r="J266" i="23" s="1"/>
  <c r="B592" i="23"/>
  <c r="J597" i="23"/>
  <c r="C590" i="23"/>
  <c r="E589" i="23"/>
  <c r="K589" i="23" s="1"/>
  <c r="V672" i="23"/>
  <c r="O691" i="23"/>
  <c r="Q690" i="23"/>
  <c r="N296" i="23"/>
  <c r="I68" i="23"/>
  <c r="J68" i="23" s="1"/>
  <c r="J67" i="23"/>
  <c r="K67" i="23" s="1"/>
  <c r="W538" i="23"/>
  <c r="AH340" i="23"/>
  <c r="AI340" i="23" s="1"/>
  <c r="AG341" i="23"/>
  <c r="AH341" i="23" s="1"/>
  <c r="AI341" i="23" s="1"/>
  <c r="K743" i="23"/>
  <c r="D691" i="23"/>
  <c r="E690" i="23"/>
  <c r="B696" i="23"/>
  <c r="AG540" i="23"/>
  <c r="AH540" i="23" s="1"/>
  <c r="AI540" i="23" s="1"/>
  <c r="AH539" i="23"/>
  <c r="AI539" i="23" s="1"/>
  <c r="V134" i="23"/>
  <c r="U139" i="23"/>
  <c r="V139" i="23" s="1"/>
  <c r="Z487" i="23"/>
  <c r="AC485" i="23"/>
  <c r="AI485" i="23" s="1"/>
  <c r="AG446" i="23"/>
  <c r="AH444" i="23"/>
  <c r="AI444" i="23" s="1"/>
  <c r="K390" i="23"/>
  <c r="K217" i="23"/>
  <c r="K317" i="23"/>
  <c r="AC640" i="23"/>
  <c r="AI640" i="23" s="1"/>
  <c r="Z641" i="23"/>
  <c r="U266" i="23"/>
  <c r="V266" i="23" s="1"/>
  <c r="V265" i="23"/>
  <c r="AH173" i="23"/>
  <c r="E417" i="23"/>
  <c r="K417" i="23" s="1"/>
  <c r="C418" i="23"/>
  <c r="Z21" i="23"/>
  <c r="AC20" i="23"/>
  <c r="AI20" i="23" s="1"/>
  <c r="J398" i="23"/>
  <c r="AB667" i="23"/>
  <c r="AC666" i="23"/>
  <c r="Q615" i="23"/>
  <c r="N616" i="23"/>
  <c r="AG590" i="23"/>
  <c r="AH590" i="23" s="1"/>
  <c r="AI590" i="23" s="1"/>
  <c r="AH589" i="23"/>
  <c r="AI589" i="23" s="1"/>
  <c r="Z694" i="23"/>
  <c r="Z318" i="23"/>
  <c r="N760" i="23"/>
  <c r="O762" i="23"/>
  <c r="Q265" i="23"/>
  <c r="N266" i="23"/>
  <c r="O489" i="23"/>
  <c r="E522" i="23"/>
  <c r="W41" i="23"/>
  <c r="K639" i="23"/>
  <c r="J647" i="23"/>
  <c r="W592" i="23"/>
  <c r="C341" i="23"/>
  <c r="E340" i="23"/>
  <c r="K340" i="23" s="1"/>
  <c r="B346" i="23"/>
  <c r="M72" i="10"/>
  <c r="Q217" i="23"/>
  <c r="W217" i="23" s="1"/>
  <c r="N218" i="23"/>
  <c r="B368" i="23"/>
  <c r="E367" i="23"/>
  <c r="K367" i="23" s="1"/>
  <c r="K240" i="23"/>
  <c r="J248" i="23"/>
  <c r="W189" i="23"/>
  <c r="O95" i="23"/>
  <c r="Q94" i="23"/>
  <c r="W94" i="23" s="1"/>
  <c r="W128" i="23"/>
  <c r="B617" i="23"/>
  <c r="AI483" i="23"/>
  <c r="V697" i="23" l="1"/>
  <c r="W689" i="23"/>
  <c r="J50" i="23"/>
  <c r="I141" i="23"/>
  <c r="J141" i="23" s="1"/>
  <c r="J136" i="23"/>
  <c r="K191" i="23"/>
  <c r="AC717" i="23"/>
  <c r="AI717" i="23" s="1"/>
  <c r="Z718" i="23"/>
  <c r="U752" i="23"/>
  <c r="V749" i="23"/>
  <c r="K128" i="23"/>
  <c r="E668" i="23"/>
  <c r="K668" i="23" s="1"/>
  <c r="C669" i="23"/>
  <c r="W340" i="23"/>
  <c r="V348" i="23"/>
  <c r="Q666" i="23"/>
  <c r="W666" i="23" s="1"/>
  <c r="N667" i="23"/>
  <c r="W138" i="23"/>
  <c r="AA242" i="23"/>
  <c r="AC241" i="23"/>
  <c r="AI241" i="23" s="1"/>
  <c r="V483" i="23"/>
  <c r="U491" i="23"/>
  <c r="N153" i="23"/>
  <c r="Q148" i="23"/>
  <c r="W148" i="23" s="1"/>
  <c r="AB692" i="23"/>
  <c r="AC691" i="23"/>
  <c r="AI691" i="23" s="1"/>
  <c r="AB292" i="23"/>
  <c r="AC291" i="23"/>
  <c r="AI291" i="23" s="1"/>
  <c r="P485" i="23"/>
  <c r="Q483" i="23"/>
  <c r="W483" i="23" s="1"/>
  <c r="AB517" i="23"/>
  <c r="AC516" i="23"/>
  <c r="AI516" i="23" s="1"/>
  <c r="B485" i="23"/>
  <c r="E483" i="23"/>
  <c r="W133" i="23"/>
  <c r="K266" i="23"/>
  <c r="AI515" i="23"/>
  <c r="Q517" i="23"/>
  <c r="W517" i="23" s="1"/>
  <c r="N518" i="23"/>
  <c r="N193" i="23"/>
  <c r="Q192" i="23"/>
  <c r="W192" i="23" s="1"/>
  <c r="N458" i="23"/>
  <c r="J454" i="23"/>
  <c r="I456" i="23"/>
  <c r="O450" i="23"/>
  <c r="Q448" i="23"/>
  <c r="W448" i="23" s="1"/>
  <c r="K190" i="23"/>
  <c r="J198" i="23"/>
  <c r="Z617" i="23"/>
  <c r="AC616" i="23"/>
  <c r="AI616" i="23" s="1"/>
  <c r="J493" i="23"/>
  <c r="I495" i="23"/>
  <c r="J495" i="23" s="1"/>
  <c r="C292" i="23"/>
  <c r="E291" i="23"/>
  <c r="K291" i="23" s="1"/>
  <c r="C70" i="23"/>
  <c r="E69" i="23"/>
  <c r="K69" i="23" s="1"/>
  <c r="AC366" i="23"/>
  <c r="AI366" i="23" s="1"/>
  <c r="Z367" i="23"/>
  <c r="AI240" i="23"/>
  <c r="N566" i="23"/>
  <c r="Q565" i="23"/>
  <c r="W565" i="23" s="1"/>
  <c r="E94" i="23"/>
  <c r="K94" i="23" s="1"/>
  <c r="B95" i="23"/>
  <c r="Z593" i="23"/>
  <c r="AC592" i="23"/>
  <c r="C616" i="23"/>
  <c r="E615" i="23"/>
  <c r="K615" i="23" s="1"/>
  <c r="B268" i="23"/>
  <c r="E267" i="23"/>
  <c r="K267" i="23" s="1"/>
  <c r="J759" i="23"/>
  <c r="J762" i="23" s="1"/>
  <c r="I761" i="23"/>
  <c r="J761" i="23" s="1"/>
  <c r="N321" i="23"/>
  <c r="Q320" i="23"/>
  <c r="W320" i="23" s="1"/>
  <c r="AC44" i="23"/>
  <c r="Z45" i="23"/>
  <c r="C541" i="23"/>
  <c r="E540" i="23"/>
  <c r="K540" i="23" s="1"/>
  <c r="U494" i="23"/>
  <c r="V492" i="23"/>
  <c r="AC541" i="23"/>
  <c r="AI541" i="23" s="1"/>
  <c r="Z542" i="23"/>
  <c r="Z193" i="23"/>
  <c r="AC192" i="23"/>
  <c r="AI192" i="23" s="1"/>
  <c r="Z246" i="23"/>
  <c r="K68" i="23"/>
  <c r="J697" i="23"/>
  <c r="B193" i="23"/>
  <c r="E192" i="23"/>
  <c r="K192" i="23" s="1"/>
  <c r="AA317" i="23"/>
  <c r="AC316" i="23"/>
  <c r="AI316" i="23" s="1"/>
  <c r="B23" i="23"/>
  <c r="E22" i="23"/>
  <c r="N392" i="23"/>
  <c r="Q391" i="23"/>
  <c r="W391" i="23" s="1"/>
  <c r="N46" i="23"/>
  <c r="Q45" i="23"/>
  <c r="W45" i="23" s="1"/>
  <c r="AA70" i="23"/>
  <c r="AC69" i="23"/>
  <c r="AI69" i="23" s="1"/>
  <c r="J622" i="23"/>
  <c r="K93" i="23"/>
  <c r="Z760" i="23"/>
  <c r="AC760" i="23" s="1"/>
  <c r="AC758" i="23"/>
  <c r="AA762" i="23"/>
  <c r="B244" i="23"/>
  <c r="E243" i="23"/>
  <c r="K243" i="23" s="1"/>
  <c r="N642" i="23"/>
  <c r="Q641" i="23"/>
  <c r="W641" i="23" s="1"/>
  <c r="I142" i="23"/>
  <c r="J142" i="23" s="1"/>
  <c r="K138" i="23" s="1"/>
  <c r="J137" i="23"/>
  <c r="K133" i="23" s="1"/>
  <c r="Q19" i="23"/>
  <c r="W19" i="23" s="1"/>
  <c r="N20" i="23"/>
  <c r="AH746" i="23"/>
  <c r="AI745" i="23" s="1"/>
  <c r="AG749" i="23"/>
  <c r="AB566" i="23"/>
  <c r="AC565" i="23"/>
  <c r="B618" i="23"/>
  <c r="O96" i="23"/>
  <c r="Q95" i="23"/>
  <c r="Z319" i="23"/>
  <c r="Z642" i="23"/>
  <c r="AC641" i="23"/>
  <c r="Z489" i="23"/>
  <c r="AC487" i="23"/>
  <c r="O692" i="23"/>
  <c r="Q691" i="23"/>
  <c r="W691" i="23" s="1"/>
  <c r="B297" i="23"/>
  <c r="AC158" i="23"/>
  <c r="AI158" i="23" s="1"/>
  <c r="Z163" i="23"/>
  <c r="AA94" i="23"/>
  <c r="AC93" i="23"/>
  <c r="AI93" i="23" s="1"/>
  <c r="AB268" i="23"/>
  <c r="AC267" i="23"/>
  <c r="AI267" i="23" s="1"/>
  <c r="P243" i="23"/>
  <c r="Q242" i="23"/>
  <c r="W242" i="23" s="1"/>
  <c r="J457" i="23"/>
  <c r="I459" i="23"/>
  <c r="J459" i="23" s="1"/>
  <c r="I484" i="23"/>
  <c r="J482" i="23"/>
  <c r="Q419" i="23"/>
  <c r="W419" i="23" s="1"/>
  <c r="O420" i="23"/>
  <c r="Z295" i="23"/>
  <c r="E745" i="23"/>
  <c r="K745" i="23" s="1"/>
  <c r="B747" i="23"/>
  <c r="W17" i="23"/>
  <c r="V25" i="23"/>
  <c r="B369" i="23"/>
  <c r="E368" i="23"/>
  <c r="K368" i="23" s="1"/>
  <c r="B347" i="23"/>
  <c r="V50" i="23"/>
  <c r="AI666" i="23"/>
  <c r="AC21" i="23"/>
  <c r="AI21" i="23" s="1"/>
  <c r="Z22" i="23"/>
  <c r="C419" i="23"/>
  <c r="E418" i="23"/>
  <c r="K418" i="23" s="1"/>
  <c r="AG454" i="23"/>
  <c r="AH446" i="23"/>
  <c r="D692" i="23"/>
  <c r="E691" i="23"/>
  <c r="K691" i="23" s="1"/>
  <c r="V547" i="23"/>
  <c r="K265" i="23"/>
  <c r="J273" i="23"/>
  <c r="W365" i="23"/>
  <c r="V373" i="23"/>
  <c r="AI153" i="23"/>
  <c r="N543" i="23"/>
  <c r="Q542" i="23"/>
  <c r="W542" i="23" s="1"/>
  <c r="K45" i="23"/>
  <c r="V722" i="23"/>
  <c r="U454" i="23"/>
  <c r="V446" i="23"/>
  <c r="W446" i="23" s="1"/>
  <c r="P394" i="23"/>
  <c r="AB418" i="23"/>
  <c r="AC417" i="23"/>
  <c r="AI417" i="23" s="1"/>
  <c r="J522" i="23"/>
  <c r="C718" i="23"/>
  <c r="E717" i="23"/>
  <c r="K717" i="23" s="1"/>
  <c r="K564" i="23"/>
  <c r="J572" i="23"/>
  <c r="W290" i="23"/>
  <c r="V298" i="23"/>
  <c r="P293" i="23"/>
  <c r="Q292" i="23"/>
  <c r="W292" i="23" s="1"/>
  <c r="AH522" i="23"/>
  <c r="AI215" i="23"/>
  <c r="D489" i="23"/>
  <c r="Q218" i="23"/>
  <c r="W218" i="23" s="1"/>
  <c r="N219" i="23"/>
  <c r="AB668" i="23"/>
  <c r="AC667" i="23"/>
  <c r="AI667" i="23" s="1"/>
  <c r="W265" i="23"/>
  <c r="C591" i="23"/>
  <c r="E590" i="23"/>
  <c r="N696" i="23"/>
  <c r="AI391" i="23"/>
  <c r="W615" i="23"/>
  <c r="B543" i="23"/>
  <c r="AH597" i="23"/>
  <c r="C47" i="23"/>
  <c r="E46" i="23"/>
  <c r="K46" i="23" s="1"/>
  <c r="B568" i="23"/>
  <c r="E567" i="23"/>
  <c r="K567" i="23" s="1"/>
  <c r="Z448" i="23"/>
  <c r="AC446" i="23"/>
  <c r="B643" i="23"/>
  <c r="E642" i="23"/>
  <c r="B74" i="23"/>
  <c r="Z272" i="23"/>
  <c r="B448" i="23"/>
  <c r="E446" i="23"/>
  <c r="K446" i="23" s="1"/>
  <c r="K522" i="23"/>
  <c r="N73" i="23"/>
  <c r="Q72" i="23"/>
  <c r="W72" i="23" s="1"/>
  <c r="Q594" i="23"/>
  <c r="N595" i="23"/>
  <c r="W291" i="23"/>
  <c r="AI344" i="23"/>
  <c r="AC216" i="23"/>
  <c r="AI216" i="23" s="1"/>
  <c r="Z217" i="23"/>
  <c r="B320" i="23"/>
  <c r="E319" i="23"/>
  <c r="E143" i="23"/>
  <c r="B148" i="23"/>
  <c r="V173" i="23"/>
  <c r="V198" i="23"/>
  <c r="V273" i="23"/>
  <c r="C342" i="23"/>
  <c r="E341" i="23"/>
  <c r="K341" i="23" s="1"/>
  <c r="O491" i="23"/>
  <c r="N267" i="23"/>
  <c r="Q266" i="23"/>
  <c r="W266" i="23" s="1"/>
  <c r="Z695" i="23"/>
  <c r="N617" i="23"/>
  <c r="Q616" i="23"/>
  <c r="W616" i="23" s="1"/>
  <c r="N297" i="23"/>
  <c r="W690" i="23"/>
  <c r="B593" i="23"/>
  <c r="Q368" i="23"/>
  <c r="W368" i="23" s="1"/>
  <c r="N369" i="23"/>
  <c r="Z393" i="23"/>
  <c r="AC392" i="23"/>
  <c r="AI392" i="23" s="1"/>
  <c r="W614" i="23"/>
  <c r="V622" i="23"/>
  <c r="W315" i="23"/>
  <c r="V323" i="23"/>
  <c r="C392" i="23"/>
  <c r="E391" i="23"/>
  <c r="K391" i="23" s="1"/>
  <c r="O345" i="23"/>
  <c r="Q344" i="23"/>
  <c r="W344" i="23" s="1"/>
  <c r="E219" i="23"/>
  <c r="K219" i="23" s="1"/>
  <c r="B220" i="23"/>
  <c r="AH547" i="23"/>
  <c r="W241" i="23"/>
  <c r="AH348" i="23"/>
  <c r="J75" i="23"/>
  <c r="Z73" i="23"/>
  <c r="N718" i="23"/>
  <c r="Q717" i="23"/>
  <c r="W717" i="23" s="1"/>
  <c r="P747" i="23"/>
  <c r="Q745" i="23"/>
  <c r="W745" i="23" s="1"/>
  <c r="B720" i="23"/>
  <c r="B397" i="23"/>
  <c r="W71" i="23"/>
  <c r="K690" i="23"/>
  <c r="AC345" i="23"/>
  <c r="AI345" i="23" s="1"/>
  <c r="Z346" i="23"/>
  <c r="V100" i="23"/>
  <c r="AC718" i="23" l="1"/>
  <c r="AI718" i="23" s="1"/>
  <c r="Z719" i="23"/>
  <c r="U755" i="23"/>
  <c r="V752" i="23"/>
  <c r="Q20" i="23"/>
  <c r="W20" i="23" s="1"/>
  <c r="N21" i="23"/>
  <c r="K22" i="23"/>
  <c r="C617" i="23"/>
  <c r="E616" i="23"/>
  <c r="K616" i="23" s="1"/>
  <c r="E23" i="23"/>
  <c r="K23" i="23" s="1"/>
  <c r="B24" i="23"/>
  <c r="E24" i="23" s="1"/>
  <c r="K24" i="23" s="1"/>
  <c r="E193" i="23"/>
  <c r="K193" i="23" s="1"/>
  <c r="B194" i="23"/>
  <c r="N322" i="23"/>
  <c r="Q322" i="23" s="1"/>
  <c r="W322" i="23" s="1"/>
  <c r="Q321" i="23"/>
  <c r="B269" i="23"/>
  <c r="E268" i="23"/>
  <c r="K268" i="23" s="1"/>
  <c r="AI592" i="23"/>
  <c r="C670" i="23"/>
  <c r="E669" i="23"/>
  <c r="AI565" i="23"/>
  <c r="AH749" i="23"/>
  <c r="AI747" i="23" s="1"/>
  <c r="AG752" i="23"/>
  <c r="Z194" i="23"/>
  <c r="AC193" i="23"/>
  <c r="AI193" i="23" s="1"/>
  <c r="U496" i="23"/>
  <c r="V496" i="23" s="1"/>
  <c r="V494" i="23"/>
  <c r="Z46" i="23"/>
  <c r="AC45" i="23"/>
  <c r="AI45" i="23" s="1"/>
  <c r="Z594" i="23"/>
  <c r="AC593" i="23"/>
  <c r="AI593" i="23" s="1"/>
  <c r="Q566" i="23"/>
  <c r="W566" i="23" s="1"/>
  <c r="N567" i="23"/>
  <c r="Z618" i="23"/>
  <c r="AC617" i="23"/>
  <c r="AI617" i="23" s="1"/>
  <c r="J456" i="23"/>
  <c r="J460" i="23" s="1"/>
  <c r="I458" i="23"/>
  <c r="J458" i="23" s="1"/>
  <c r="B487" i="23"/>
  <c r="E485" i="23"/>
  <c r="K485" i="23" s="1"/>
  <c r="P487" i="23"/>
  <c r="Q485" i="23"/>
  <c r="W485" i="23" s="1"/>
  <c r="AB693" i="23"/>
  <c r="AC692" i="23"/>
  <c r="AI692" i="23" s="1"/>
  <c r="C293" i="23"/>
  <c r="E292" i="23"/>
  <c r="K292" i="23" s="1"/>
  <c r="O452" i="23"/>
  <c r="Q450" i="23"/>
  <c r="W450" i="23" s="1"/>
  <c r="AB518" i="23"/>
  <c r="AC517" i="23"/>
  <c r="AI517" i="23" s="1"/>
  <c r="AB293" i="23"/>
  <c r="AC292" i="23"/>
  <c r="AI292" i="23" s="1"/>
  <c r="N158" i="23"/>
  <c r="Q153" i="23"/>
  <c r="W153" i="23" s="1"/>
  <c r="N643" i="23"/>
  <c r="Q642" i="23"/>
  <c r="W642" i="23" s="1"/>
  <c r="C542" i="23"/>
  <c r="E541" i="23"/>
  <c r="K541" i="23" s="1"/>
  <c r="Z368" i="23"/>
  <c r="AC367" i="23"/>
  <c r="C71" i="23"/>
  <c r="E70" i="23"/>
  <c r="K70" i="23" s="1"/>
  <c r="U493" i="23"/>
  <c r="V491" i="23"/>
  <c r="AA243" i="23"/>
  <c r="AC242" i="23"/>
  <c r="AI242" i="23" s="1"/>
  <c r="N668" i="23"/>
  <c r="Q667" i="23"/>
  <c r="W667" i="23" s="1"/>
  <c r="AC762" i="23"/>
  <c r="AB567" i="23"/>
  <c r="AC566" i="23"/>
  <c r="AI566" i="23" s="1"/>
  <c r="E244" i="23"/>
  <c r="K244" i="23" s="1"/>
  <c r="B245" i="23"/>
  <c r="AA71" i="23"/>
  <c r="AC70" i="23"/>
  <c r="AI70" i="23" s="1"/>
  <c r="Q46" i="23"/>
  <c r="N47" i="23"/>
  <c r="N393" i="23"/>
  <c r="Q392" i="23"/>
  <c r="W392" i="23" s="1"/>
  <c r="AA318" i="23"/>
  <c r="AC317" i="23"/>
  <c r="AI317" i="23" s="1"/>
  <c r="Z247" i="23"/>
  <c r="Z543" i="23"/>
  <c r="AC542" i="23"/>
  <c r="AI542" i="23" s="1"/>
  <c r="AI44" i="23"/>
  <c r="B96" i="23"/>
  <c r="E95" i="23"/>
  <c r="K95" i="23" s="1"/>
  <c r="J173" i="23"/>
  <c r="Q193" i="23"/>
  <c r="N194" i="23"/>
  <c r="Q518" i="23"/>
  <c r="W518" i="23" s="1"/>
  <c r="N519" i="23"/>
  <c r="E220" i="23"/>
  <c r="B221" i="23"/>
  <c r="B594" i="23"/>
  <c r="O493" i="23"/>
  <c r="W594" i="23"/>
  <c r="K642" i="23"/>
  <c r="C592" i="23"/>
  <c r="E591" i="23"/>
  <c r="K591" i="23" s="1"/>
  <c r="AB669" i="23"/>
  <c r="AC668" i="23"/>
  <c r="AI668" i="23" s="1"/>
  <c r="D491" i="23"/>
  <c r="N544" i="23"/>
  <c r="Q543" i="23"/>
  <c r="W543" i="23" s="1"/>
  <c r="AG456" i="23"/>
  <c r="AH454" i="23"/>
  <c r="B370" i="23"/>
  <c r="E369" i="23"/>
  <c r="K369" i="23" s="1"/>
  <c r="Z296" i="23"/>
  <c r="O421" i="23"/>
  <c r="Q420" i="23"/>
  <c r="K481" i="23"/>
  <c r="AI487" i="23"/>
  <c r="W95" i="23"/>
  <c r="B619" i="23"/>
  <c r="P750" i="23"/>
  <c r="Q747" i="23"/>
  <c r="W747" i="23" s="1"/>
  <c r="C393" i="23"/>
  <c r="E392" i="23"/>
  <c r="K392" i="23" s="1"/>
  <c r="N370" i="23"/>
  <c r="Q369" i="23"/>
  <c r="W369" i="23" s="1"/>
  <c r="Q617" i="23"/>
  <c r="W617" i="23" s="1"/>
  <c r="N618" i="23"/>
  <c r="E148" i="23"/>
  <c r="K148" i="23" s="1"/>
  <c r="B153" i="23"/>
  <c r="K319" i="23"/>
  <c r="Q73" i="23"/>
  <c r="W73" i="23" s="1"/>
  <c r="N74" i="23"/>
  <c r="Q74" i="23" s="1"/>
  <c r="E643" i="23"/>
  <c r="K643" i="23" s="1"/>
  <c r="B644" i="23"/>
  <c r="E568" i="23"/>
  <c r="K568" i="23" s="1"/>
  <c r="B569" i="23"/>
  <c r="B544" i="23"/>
  <c r="Q219" i="23"/>
  <c r="W219" i="23" s="1"/>
  <c r="N220" i="23"/>
  <c r="C719" i="23"/>
  <c r="E718" i="23"/>
  <c r="K718" i="23" s="1"/>
  <c r="AB419" i="23"/>
  <c r="AC418" i="23"/>
  <c r="AI418" i="23" s="1"/>
  <c r="P395" i="23"/>
  <c r="E419" i="23"/>
  <c r="C420" i="23"/>
  <c r="J484" i="23"/>
  <c r="K483" i="23" s="1"/>
  <c r="I492" i="23"/>
  <c r="O693" i="23"/>
  <c r="Q692" i="23"/>
  <c r="W692" i="23" s="1"/>
  <c r="AC489" i="23"/>
  <c r="AI489" i="23" s="1"/>
  <c r="Z491" i="23"/>
  <c r="AI641" i="23"/>
  <c r="O97" i="23"/>
  <c r="Q96" i="23"/>
  <c r="W96" i="23" s="1"/>
  <c r="AC393" i="23"/>
  <c r="Z394" i="23"/>
  <c r="N268" i="23"/>
  <c r="Q267" i="23"/>
  <c r="W267" i="23" s="1"/>
  <c r="C343" i="23"/>
  <c r="E342" i="23"/>
  <c r="K342" i="23" s="1"/>
  <c r="K143" i="23"/>
  <c r="B321" i="23"/>
  <c r="E320" i="23"/>
  <c r="K320" i="23" s="1"/>
  <c r="B450" i="23"/>
  <c r="E448" i="23"/>
  <c r="AC448" i="23"/>
  <c r="AI448" i="23" s="1"/>
  <c r="Z450" i="23"/>
  <c r="C48" i="23"/>
  <c r="E47" i="23"/>
  <c r="K47" i="23" s="1"/>
  <c r="U456" i="23"/>
  <c r="V454" i="23"/>
  <c r="Z23" i="23"/>
  <c r="AC22" i="23"/>
  <c r="AI22" i="23" s="1"/>
  <c r="B750" i="23"/>
  <c r="E747" i="23"/>
  <c r="K747" i="23" s="1"/>
  <c r="P244" i="23"/>
  <c r="Q243" i="23"/>
  <c r="AA95" i="23"/>
  <c r="AC94" i="23"/>
  <c r="AC642" i="23"/>
  <c r="AI642" i="23" s="1"/>
  <c r="Z643" i="23"/>
  <c r="Z347" i="23"/>
  <c r="AC347" i="23" s="1"/>
  <c r="AI347" i="23" s="1"/>
  <c r="AC346" i="23"/>
  <c r="AI346" i="23" s="1"/>
  <c r="B721" i="23"/>
  <c r="N719" i="23"/>
  <c r="Q718" i="23"/>
  <c r="W718" i="23" s="1"/>
  <c r="Z74" i="23"/>
  <c r="O346" i="23"/>
  <c r="Q345" i="23"/>
  <c r="Z696" i="23"/>
  <c r="AC217" i="23"/>
  <c r="AI217" i="23" s="1"/>
  <c r="Z218" i="23"/>
  <c r="Q595" i="23"/>
  <c r="W595" i="23" s="1"/>
  <c r="N596" i="23"/>
  <c r="Q596" i="23" s="1"/>
  <c r="W596" i="23" s="1"/>
  <c r="K590" i="23"/>
  <c r="P294" i="23"/>
  <c r="Q293" i="23"/>
  <c r="W293" i="23" s="1"/>
  <c r="D693" i="23"/>
  <c r="E692" i="23"/>
  <c r="K692" i="23" s="1"/>
  <c r="AI446" i="23"/>
  <c r="AB269" i="23"/>
  <c r="AC268" i="23"/>
  <c r="Z168" i="23"/>
  <c r="AC168" i="23" s="1"/>
  <c r="AI168" i="23" s="1"/>
  <c r="AC163" i="23"/>
  <c r="AI163" i="23" s="1"/>
  <c r="Z320" i="23"/>
  <c r="V755" i="23" l="1"/>
  <c r="U757" i="23"/>
  <c r="Z720" i="23"/>
  <c r="AC719" i="23"/>
  <c r="AI719" i="23" s="1"/>
  <c r="Q519" i="23"/>
  <c r="W519" i="23" s="1"/>
  <c r="N520" i="23"/>
  <c r="AI367" i="23"/>
  <c r="Q158" i="23"/>
  <c r="N163" i="23"/>
  <c r="AB519" i="23"/>
  <c r="AC518" i="23"/>
  <c r="AI518" i="23" s="1"/>
  <c r="N22" i="23"/>
  <c r="Q21" i="23"/>
  <c r="AI173" i="23"/>
  <c r="N394" i="23"/>
  <c r="Q393" i="23"/>
  <c r="W393" i="23" s="1"/>
  <c r="AA72" i="23"/>
  <c r="AC71" i="23"/>
  <c r="AI71" i="23" s="1"/>
  <c r="AB694" i="23"/>
  <c r="AC693" i="23"/>
  <c r="AI693" i="23" s="1"/>
  <c r="AI348" i="23"/>
  <c r="Q194" i="23"/>
  <c r="W194" i="23" s="1"/>
  <c r="N195" i="23"/>
  <c r="N48" i="23"/>
  <c r="Q47" i="23"/>
  <c r="W47" i="23" s="1"/>
  <c r="N644" i="23"/>
  <c r="Q643" i="23"/>
  <c r="W643" i="23" s="1"/>
  <c r="AB294" i="23"/>
  <c r="AC293" i="23"/>
  <c r="AI293" i="23" s="1"/>
  <c r="O454" i="23"/>
  <c r="Q452" i="23"/>
  <c r="W452" i="23" s="1"/>
  <c r="C294" i="23"/>
  <c r="E293" i="23"/>
  <c r="AC594" i="23"/>
  <c r="Z595" i="23"/>
  <c r="Z195" i="23"/>
  <c r="AC194" i="23"/>
  <c r="AI194" i="23" s="1"/>
  <c r="K669" i="23"/>
  <c r="E194" i="23"/>
  <c r="B195" i="23"/>
  <c r="E25" i="23"/>
  <c r="AB568" i="23"/>
  <c r="AC567" i="23"/>
  <c r="AI567" i="23" s="1"/>
  <c r="AC46" i="23"/>
  <c r="Z47" i="23"/>
  <c r="AG755" i="23"/>
  <c r="AH752" i="23"/>
  <c r="AI750" i="23" s="1"/>
  <c r="W321" i="23"/>
  <c r="W323" i="23" s="1"/>
  <c r="Q323" i="23"/>
  <c r="AA244" i="23"/>
  <c r="AC243" i="23"/>
  <c r="AI243" i="23" s="1"/>
  <c r="AC368" i="23"/>
  <c r="AI368" i="23" s="1"/>
  <c r="Z369" i="23"/>
  <c r="B489" i="23"/>
  <c r="E487" i="23"/>
  <c r="K487" i="23" s="1"/>
  <c r="Z619" i="23"/>
  <c r="AC618" i="23"/>
  <c r="AI618" i="23" s="1"/>
  <c r="W193" i="23"/>
  <c r="B97" i="23"/>
  <c r="E96" i="23"/>
  <c r="K96" i="23" s="1"/>
  <c r="AC543" i="23"/>
  <c r="AI543" i="23" s="1"/>
  <c r="Z544" i="23"/>
  <c r="AA319" i="23"/>
  <c r="AC318" i="23"/>
  <c r="AI318" i="23" s="1"/>
  <c r="W46" i="23"/>
  <c r="B246" i="23"/>
  <c r="E245" i="23"/>
  <c r="K245" i="23" s="1"/>
  <c r="Q668" i="23"/>
  <c r="W668" i="23" s="1"/>
  <c r="N669" i="23"/>
  <c r="U495" i="23"/>
  <c r="V495" i="23" s="1"/>
  <c r="V493" i="23"/>
  <c r="V497" i="23" s="1"/>
  <c r="C72" i="23"/>
  <c r="E71" i="23"/>
  <c r="C543" i="23"/>
  <c r="E542" i="23"/>
  <c r="K542" i="23" s="1"/>
  <c r="P489" i="23"/>
  <c r="Q487" i="23"/>
  <c r="W487" i="23" s="1"/>
  <c r="Q567" i="23"/>
  <c r="W567" i="23" s="1"/>
  <c r="N568" i="23"/>
  <c r="C671" i="23"/>
  <c r="E671" i="23" s="1"/>
  <c r="K671" i="23" s="1"/>
  <c r="E670" i="23"/>
  <c r="K670" i="23" s="1"/>
  <c r="E269" i="23"/>
  <c r="K269" i="23" s="1"/>
  <c r="B270" i="23"/>
  <c r="C618" i="23"/>
  <c r="E617" i="23"/>
  <c r="K617" i="23" s="1"/>
  <c r="K25" i="23"/>
  <c r="AB270" i="23"/>
  <c r="AC269" i="23"/>
  <c r="AI269" i="23" s="1"/>
  <c r="AA96" i="23"/>
  <c r="AC95" i="23"/>
  <c r="AI95" i="23" s="1"/>
  <c r="Z452" i="23"/>
  <c r="AC450" i="23"/>
  <c r="AI450" i="23" s="1"/>
  <c r="AC173" i="23"/>
  <c r="AB420" i="23"/>
  <c r="AC419" i="23"/>
  <c r="AI419" i="23" s="1"/>
  <c r="C720" i="23"/>
  <c r="E719" i="23"/>
  <c r="B545" i="23"/>
  <c r="O422" i="23"/>
  <c r="Q422" i="23" s="1"/>
  <c r="W422" i="23" s="1"/>
  <c r="Q421" i="23"/>
  <c r="W421" i="23" s="1"/>
  <c r="AB670" i="23"/>
  <c r="AC669" i="23"/>
  <c r="AI669" i="23" s="1"/>
  <c r="Q597" i="23"/>
  <c r="O495" i="23"/>
  <c r="K220" i="23"/>
  <c r="AC218" i="23"/>
  <c r="AI218" i="23" s="1"/>
  <c r="Z219" i="23"/>
  <c r="W345" i="23"/>
  <c r="W243" i="23"/>
  <c r="B753" i="23"/>
  <c r="E750" i="23"/>
  <c r="K750" i="23" s="1"/>
  <c r="E321" i="23"/>
  <c r="K321" i="23" s="1"/>
  <c r="B322" i="23"/>
  <c r="E322" i="23" s="1"/>
  <c r="K322" i="23" s="1"/>
  <c r="K323" i="23" s="1"/>
  <c r="I494" i="23"/>
  <c r="J492" i="23"/>
  <c r="P396" i="23"/>
  <c r="E569" i="23"/>
  <c r="K569" i="23" s="1"/>
  <c r="B570" i="23"/>
  <c r="E644" i="23"/>
  <c r="K644" i="23" s="1"/>
  <c r="B645" i="23"/>
  <c r="W74" i="23"/>
  <c r="W75" i="23" s="1"/>
  <c r="Q75" i="23"/>
  <c r="E153" i="23"/>
  <c r="B158" i="23"/>
  <c r="Q618" i="23"/>
  <c r="W618" i="23" s="1"/>
  <c r="N619" i="23"/>
  <c r="P753" i="23"/>
  <c r="Q750" i="23"/>
  <c r="W750" i="23" s="1"/>
  <c r="B371" i="23"/>
  <c r="E370" i="23"/>
  <c r="K370" i="23" s="1"/>
  <c r="N545" i="23"/>
  <c r="Q544" i="23"/>
  <c r="W544" i="23" s="1"/>
  <c r="W597" i="23"/>
  <c r="AC348" i="23"/>
  <c r="P295" i="23"/>
  <c r="Q294" i="23"/>
  <c r="W294" i="23" s="1"/>
  <c r="O347" i="23"/>
  <c r="Q347" i="23" s="1"/>
  <c r="W347" i="23" s="1"/>
  <c r="Q346" i="23"/>
  <c r="W346" i="23" s="1"/>
  <c r="N720" i="23"/>
  <c r="Q719" i="23"/>
  <c r="W719" i="23" s="1"/>
  <c r="AC643" i="23"/>
  <c r="AI643" i="23" s="1"/>
  <c r="Z644" i="23"/>
  <c r="P245" i="23"/>
  <c r="Q244" i="23"/>
  <c r="W244" i="23" s="1"/>
  <c r="Z24" i="23"/>
  <c r="AC24" i="23" s="1"/>
  <c r="AC23" i="23"/>
  <c r="AI23" i="23" s="1"/>
  <c r="C49" i="23"/>
  <c r="E49" i="23" s="1"/>
  <c r="E48" i="23"/>
  <c r="K48" i="23" s="1"/>
  <c r="K448" i="23"/>
  <c r="AC394" i="23"/>
  <c r="AI394" i="23" s="1"/>
  <c r="Z395" i="23"/>
  <c r="O694" i="23"/>
  <c r="Q693" i="23"/>
  <c r="W693" i="23" s="1"/>
  <c r="C421" i="23"/>
  <c r="E420" i="23"/>
  <c r="K420" i="23" s="1"/>
  <c r="N371" i="23"/>
  <c r="Q370" i="23"/>
  <c r="W370" i="23" s="1"/>
  <c r="C394" i="23"/>
  <c r="E393" i="23"/>
  <c r="K393" i="23" s="1"/>
  <c r="B620" i="23"/>
  <c r="AH456" i="23"/>
  <c r="AG458" i="23"/>
  <c r="AH458" i="23" s="1"/>
  <c r="C593" i="23"/>
  <c r="E592" i="23"/>
  <c r="Z321" i="23"/>
  <c r="AI268" i="23"/>
  <c r="D694" i="23"/>
  <c r="E693" i="23"/>
  <c r="K693" i="23" s="1"/>
  <c r="AI94" i="23"/>
  <c r="V456" i="23"/>
  <c r="U458" i="23"/>
  <c r="V458" i="23" s="1"/>
  <c r="B452" i="23"/>
  <c r="E450" i="23"/>
  <c r="K450" i="23" s="1"/>
  <c r="C344" i="23"/>
  <c r="E343" i="23"/>
  <c r="K343" i="23" s="1"/>
  <c r="Q268" i="23"/>
  <c r="W268" i="23" s="1"/>
  <c r="N269" i="23"/>
  <c r="AI393" i="23"/>
  <c r="O98" i="23"/>
  <c r="Q97" i="23"/>
  <c r="W97" i="23" s="1"/>
  <c r="AC491" i="23"/>
  <c r="AI491" i="23" s="1"/>
  <c r="Z493" i="23"/>
  <c r="K419" i="23"/>
  <c r="Q220" i="23"/>
  <c r="W220" i="23" s="1"/>
  <c r="N221" i="23"/>
  <c r="E323" i="23"/>
  <c r="W420" i="23"/>
  <c r="Z297" i="23"/>
  <c r="D493" i="23"/>
  <c r="B595" i="23"/>
  <c r="E221" i="23"/>
  <c r="K221" i="23" s="1"/>
  <c r="B222" i="23"/>
  <c r="E222" i="23" s="1"/>
  <c r="K222" i="23" s="1"/>
  <c r="Z721" i="23" l="1"/>
  <c r="AC721" i="23" s="1"/>
  <c r="AI721" i="23" s="1"/>
  <c r="AC720" i="23"/>
  <c r="U759" i="23"/>
  <c r="V757" i="23"/>
  <c r="K672" i="23"/>
  <c r="N569" i="23"/>
  <c r="Q568" i="23"/>
  <c r="N670" i="23"/>
  <c r="Q669" i="23"/>
  <c r="W669" i="23" s="1"/>
  <c r="Z545" i="23"/>
  <c r="AC544" i="23"/>
  <c r="AB569" i="23"/>
  <c r="AC568" i="23"/>
  <c r="AI568" i="23" s="1"/>
  <c r="K194" i="23"/>
  <c r="K293" i="23"/>
  <c r="AA73" i="23"/>
  <c r="AC72" i="23"/>
  <c r="C619" i="23"/>
  <c r="E618" i="23"/>
  <c r="K618" i="23" s="1"/>
  <c r="C73" i="23"/>
  <c r="E72" i="23"/>
  <c r="K72" i="23" s="1"/>
  <c r="Z48" i="23"/>
  <c r="AC47" i="23"/>
  <c r="AI47" i="23" s="1"/>
  <c r="E672" i="23"/>
  <c r="Z596" i="23"/>
  <c r="AC596" i="23" s="1"/>
  <c r="AI596" i="23" s="1"/>
  <c r="AC595" i="23"/>
  <c r="AI595" i="23" s="1"/>
  <c r="W21" i="23"/>
  <c r="K300" i="23"/>
  <c r="AG757" i="23"/>
  <c r="AH755" i="23"/>
  <c r="AI753" i="23" s="1"/>
  <c r="AI46" i="23"/>
  <c r="Z196" i="23"/>
  <c r="AC195" i="23"/>
  <c r="AI195" i="23" s="1"/>
  <c r="AI594" i="23"/>
  <c r="AC597" i="23"/>
  <c r="N49" i="23"/>
  <c r="Q49" i="23" s="1"/>
  <c r="W49" i="23" s="1"/>
  <c r="Q48" i="23"/>
  <c r="N395" i="23"/>
  <c r="Q394" i="23"/>
  <c r="W394" i="23" s="1"/>
  <c r="Q22" i="23"/>
  <c r="W22" i="23" s="1"/>
  <c r="N23" i="23"/>
  <c r="AB520" i="23"/>
  <c r="AC519" i="23"/>
  <c r="AI519" i="23" s="1"/>
  <c r="K71" i="23"/>
  <c r="Z370" i="23"/>
  <c r="AC369" i="23"/>
  <c r="AI369" i="23" s="1"/>
  <c r="W158" i="23"/>
  <c r="Z620" i="23"/>
  <c r="AC619" i="23"/>
  <c r="AI619" i="23" s="1"/>
  <c r="C295" i="23"/>
  <c r="E294" i="23"/>
  <c r="K294" i="23" s="1"/>
  <c r="AB295" i="23"/>
  <c r="AC294" i="23"/>
  <c r="AI294" i="23" s="1"/>
  <c r="Q423" i="23"/>
  <c r="AH460" i="23"/>
  <c r="B271" i="23"/>
  <c r="E270" i="23"/>
  <c r="K270" i="23" s="1"/>
  <c r="P491" i="23"/>
  <c r="Q489" i="23"/>
  <c r="W489" i="23" s="1"/>
  <c r="C544" i="23"/>
  <c r="E543" i="23"/>
  <c r="K543" i="23" s="1"/>
  <c r="B247" i="23"/>
  <c r="E247" i="23" s="1"/>
  <c r="K247" i="23" s="1"/>
  <c r="E246" i="23"/>
  <c r="K246" i="23" s="1"/>
  <c r="AA320" i="23"/>
  <c r="AC319" i="23"/>
  <c r="AI319" i="23" s="1"/>
  <c r="B98" i="23"/>
  <c r="E97" i="23"/>
  <c r="B491" i="23"/>
  <c r="E489" i="23"/>
  <c r="K489" i="23" s="1"/>
  <c r="AA245" i="23"/>
  <c r="AC244" i="23"/>
  <c r="E195" i="23"/>
  <c r="K195" i="23" s="1"/>
  <c r="B196" i="23"/>
  <c r="O456" i="23"/>
  <c r="Q454" i="23"/>
  <c r="W454" i="23" s="1"/>
  <c r="N645" i="23"/>
  <c r="Q644" i="23"/>
  <c r="Q195" i="23"/>
  <c r="N196" i="23"/>
  <c r="AB695" i="23"/>
  <c r="AC694" i="23"/>
  <c r="Q163" i="23"/>
  <c r="W163" i="23" s="1"/>
  <c r="N168" i="23"/>
  <c r="Q168" i="23" s="1"/>
  <c r="W168" i="23" s="1"/>
  <c r="N521" i="23"/>
  <c r="Q521" i="23" s="1"/>
  <c r="Q520" i="23"/>
  <c r="W520" i="23" s="1"/>
  <c r="B454" i="23"/>
  <c r="E452" i="23"/>
  <c r="K452" i="23" s="1"/>
  <c r="B756" i="23"/>
  <c r="E753" i="23"/>
  <c r="K753" i="23" s="1"/>
  <c r="Q348" i="23"/>
  <c r="K719" i="23"/>
  <c r="W423" i="23"/>
  <c r="C345" i="23"/>
  <c r="E344" i="23"/>
  <c r="K344" i="23" s="1"/>
  <c r="N546" i="23"/>
  <c r="Q546" i="23" s="1"/>
  <c r="Q545" i="23"/>
  <c r="W545" i="23" s="1"/>
  <c r="N620" i="23"/>
  <c r="Q619" i="23"/>
  <c r="W619" i="23" s="1"/>
  <c r="B646" i="23"/>
  <c r="E646" i="23" s="1"/>
  <c r="E645" i="23"/>
  <c r="K645" i="23" s="1"/>
  <c r="N222" i="23"/>
  <c r="Q222" i="23" s="1"/>
  <c r="Q221" i="23"/>
  <c r="W221" i="23" s="1"/>
  <c r="N270" i="23"/>
  <c r="Q269" i="23"/>
  <c r="W269" i="23" s="1"/>
  <c r="K592" i="23"/>
  <c r="Z396" i="23"/>
  <c r="AC395" i="23"/>
  <c r="AI395" i="23" s="1"/>
  <c r="AI24" i="23"/>
  <c r="AI25" i="23" s="1"/>
  <c r="AC25" i="23"/>
  <c r="P246" i="23"/>
  <c r="Q245" i="23"/>
  <c r="W245" i="23" s="1"/>
  <c r="P296" i="23"/>
  <c r="Q295" i="23"/>
  <c r="W295" i="23" s="1"/>
  <c r="J494" i="23"/>
  <c r="I496" i="23"/>
  <c r="J496" i="23" s="1"/>
  <c r="J497" i="23" s="1"/>
  <c r="AC219" i="23"/>
  <c r="AI219" i="23" s="1"/>
  <c r="Z220" i="23"/>
  <c r="AC452" i="23"/>
  <c r="AI452" i="23" s="1"/>
  <c r="Z454" i="23"/>
  <c r="AA97" i="23"/>
  <c r="AC96" i="23"/>
  <c r="AB271" i="23"/>
  <c r="AC270" i="23"/>
  <c r="AI270" i="23" s="1"/>
  <c r="B596" i="23"/>
  <c r="Z495" i="23"/>
  <c r="AC495" i="23" s="1"/>
  <c r="AI495" i="23" s="1"/>
  <c r="AC493" i="23"/>
  <c r="AI493" i="23" s="1"/>
  <c r="O99" i="23"/>
  <c r="Q99" i="23" s="1"/>
  <c r="Q98" i="23"/>
  <c r="W98" i="23" s="1"/>
  <c r="Z322" i="23"/>
  <c r="P756" i="23"/>
  <c r="Q753" i="23"/>
  <c r="W753" i="23" s="1"/>
  <c r="K153" i="23"/>
  <c r="K223" i="23"/>
  <c r="B621" i="23"/>
  <c r="Q371" i="23"/>
  <c r="W371" i="23" s="1"/>
  <c r="N372" i="23"/>
  <c r="Q372" i="23" s="1"/>
  <c r="C422" i="23"/>
  <c r="E422" i="23" s="1"/>
  <c r="E421" i="23"/>
  <c r="K421" i="23" s="1"/>
  <c r="O695" i="23"/>
  <c r="Q694" i="23"/>
  <c r="W694" i="23" s="1"/>
  <c r="W348" i="23"/>
  <c r="B372" i="23"/>
  <c r="E372" i="23" s="1"/>
  <c r="E371" i="23"/>
  <c r="K371" i="23" s="1"/>
  <c r="B546" i="23"/>
  <c r="C721" i="23"/>
  <c r="E721" i="23" s="1"/>
  <c r="K721" i="23" s="1"/>
  <c r="E720" i="23"/>
  <c r="K720" i="23" s="1"/>
  <c r="D495" i="23"/>
  <c r="D695" i="23"/>
  <c r="E694" i="23"/>
  <c r="K694" i="23" s="1"/>
  <c r="C594" i="23"/>
  <c r="E593" i="23"/>
  <c r="K593" i="23" s="1"/>
  <c r="C395" i="23"/>
  <c r="E394" i="23"/>
  <c r="K394" i="23" s="1"/>
  <c r="K49" i="23"/>
  <c r="E50" i="23"/>
  <c r="V460" i="23"/>
  <c r="AC644" i="23"/>
  <c r="AI644" i="23" s="1"/>
  <c r="Z645" i="23"/>
  <c r="N721" i="23"/>
  <c r="Q721" i="23" s="1"/>
  <c r="Q720" i="23"/>
  <c r="W720" i="23" s="1"/>
  <c r="E158" i="23"/>
  <c r="K158" i="23" s="1"/>
  <c r="B163" i="23"/>
  <c r="B571" i="23"/>
  <c r="E571" i="23" s="1"/>
  <c r="E570" i="23"/>
  <c r="K570" i="23" s="1"/>
  <c r="P397" i="23"/>
  <c r="E223" i="23"/>
  <c r="AB671" i="23"/>
  <c r="AC671" i="23" s="1"/>
  <c r="AC670" i="23"/>
  <c r="AI670" i="23" s="1"/>
  <c r="AB421" i="23"/>
  <c r="AC420" i="23"/>
  <c r="AI420" i="23" s="1"/>
  <c r="Q173" i="23" l="1"/>
  <c r="V759" i="23"/>
  <c r="V762" i="23" s="1"/>
  <c r="U761" i="23"/>
  <c r="V761" i="23" s="1"/>
  <c r="AI597" i="23"/>
  <c r="AI720" i="23"/>
  <c r="AC722" i="23"/>
  <c r="AI722" i="23"/>
  <c r="W521" i="23"/>
  <c r="W522" i="23" s="1"/>
  <c r="K499" i="23" s="1"/>
  <c r="Q522" i="23"/>
  <c r="W644" i="23"/>
  <c r="E271" i="23"/>
  <c r="B272" i="23"/>
  <c r="E272" i="23" s="1"/>
  <c r="K272" i="23" s="1"/>
  <c r="AB521" i="23"/>
  <c r="AC521" i="23" s="1"/>
  <c r="AC520" i="23"/>
  <c r="AI520" i="23" s="1"/>
  <c r="N396" i="23"/>
  <c r="Q395" i="23"/>
  <c r="W395" i="23" s="1"/>
  <c r="AC48" i="23"/>
  <c r="Z49" i="23"/>
  <c r="AC49" i="23" s="1"/>
  <c r="AI49" i="23" s="1"/>
  <c r="AB570" i="23"/>
  <c r="AC569" i="23"/>
  <c r="AI569" i="23" s="1"/>
  <c r="W195" i="23"/>
  <c r="N646" i="23"/>
  <c r="Q646" i="23" s="1"/>
  <c r="W646" i="23" s="1"/>
  <c r="Q645" i="23"/>
  <c r="W645" i="23" s="1"/>
  <c r="AI244" i="23"/>
  <c r="C296" i="23"/>
  <c r="E295" i="23"/>
  <c r="K295" i="23" s="1"/>
  <c r="Z621" i="23"/>
  <c r="AC621" i="23" s="1"/>
  <c r="AC620" i="23"/>
  <c r="AI620" i="23" s="1"/>
  <c r="W48" i="23"/>
  <c r="W50" i="23" s="1"/>
  <c r="Q50" i="23"/>
  <c r="C620" i="23"/>
  <c r="E619" i="23"/>
  <c r="K619" i="23" s="1"/>
  <c r="AI72" i="23"/>
  <c r="N671" i="23"/>
  <c r="Q671" i="23" s="1"/>
  <c r="Q670" i="23"/>
  <c r="W670" i="23" s="1"/>
  <c r="AB696" i="23"/>
  <c r="AC696" i="23" s="1"/>
  <c r="AI696" i="23" s="1"/>
  <c r="AC695" i="23"/>
  <c r="AI695" i="23" s="1"/>
  <c r="E196" i="23"/>
  <c r="B197" i="23"/>
  <c r="E197" i="23" s="1"/>
  <c r="K197" i="23" s="1"/>
  <c r="AA246" i="23"/>
  <c r="AC245" i="23"/>
  <c r="AI245" i="23" s="1"/>
  <c r="B493" i="23"/>
  <c r="E491" i="23"/>
  <c r="K491" i="23" s="1"/>
  <c r="AA321" i="23"/>
  <c r="AC320" i="23"/>
  <c r="AI320" i="23" s="1"/>
  <c r="C545" i="23"/>
  <c r="E544" i="23"/>
  <c r="K544" i="23" s="1"/>
  <c r="P493" i="23"/>
  <c r="Q491" i="23"/>
  <c r="AC196" i="23"/>
  <c r="AI196" i="23" s="1"/>
  <c r="Z197" i="23"/>
  <c r="AC197" i="23" s="1"/>
  <c r="AH757" i="23"/>
  <c r="AI756" i="23" s="1"/>
  <c r="AG759" i="23"/>
  <c r="AA74" i="23"/>
  <c r="AC74" i="23" s="1"/>
  <c r="AI74" i="23" s="1"/>
  <c r="AC73" i="23"/>
  <c r="AI73" i="23" s="1"/>
  <c r="AI544" i="23"/>
  <c r="W568" i="23"/>
  <c r="N197" i="23"/>
  <c r="Q197" i="23" s="1"/>
  <c r="W197" i="23" s="1"/>
  <c r="Q196" i="23"/>
  <c r="W196" i="23" s="1"/>
  <c r="B99" i="23"/>
  <c r="E99" i="23" s="1"/>
  <c r="K99" i="23" s="1"/>
  <c r="E98" i="23"/>
  <c r="K98" i="23" s="1"/>
  <c r="AI694" i="23"/>
  <c r="W173" i="23"/>
  <c r="Q23" i="23"/>
  <c r="W23" i="23" s="1"/>
  <c r="N24" i="23"/>
  <c r="Q24" i="23" s="1"/>
  <c r="W24" i="23" s="1"/>
  <c r="M768" i="23"/>
  <c r="O458" i="23"/>
  <c r="Q458" i="23" s="1"/>
  <c r="W458" i="23" s="1"/>
  <c r="Q456" i="23"/>
  <c r="K97" i="23"/>
  <c r="K248" i="23"/>
  <c r="AB296" i="23"/>
  <c r="AC295" i="23"/>
  <c r="Z371" i="23"/>
  <c r="AC370" i="23"/>
  <c r="E248" i="23"/>
  <c r="W25" i="23"/>
  <c r="K2" i="23" s="1"/>
  <c r="C74" i="23"/>
  <c r="E74" i="23" s="1"/>
  <c r="K74" i="23" s="1"/>
  <c r="E73" i="23"/>
  <c r="Z546" i="23"/>
  <c r="AC546" i="23" s="1"/>
  <c r="AI546" i="23" s="1"/>
  <c r="AC545" i="23"/>
  <c r="AI545" i="23" s="1"/>
  <c r="N570" i="23"/>
  <c r="Q569" i="23"/>
  <c r="W569" i="23" s="1"/>
  <c r="AB422" i="23"/>
  <c r="AC422" i="23" s="1"/>
  <c r="AC421" i="23"/>
  <c r="AI421" i="23" s="1"/>
  <c r="W721" i="23"/>
  <c r="W722" i="23" s="1"/>
  <c r="Q722" i="23"/>
  <c r="D696" i="23"/>
  <c r="E696" i="23" s="1"/>
  <c r="E695" i="23"/>
  <c r="K695" i="23" s="1"/>
  <c r="K372" i="23"/>
  <c r="K373" i="23" s="1"/>
  <c r="E373" i="23"/>
  <c r="K422" i="23"/>
  <c r="K423" i="23" s="1"/>
  <c r="K400" i="23" s="1"/>
  <c r="E423" i="23"/>
  <c r="AB272" i="23"/>
  <c r="AC272" i="23" s="1"/>
  <c r="AC271" i="23"/>
  <c r="AI271" i="23" s="1"/>
  <c r="AA98" i="23"/>
  <c r="AC97" i="23"/>
  <c r="AI97" i="23" s="1"/>
  <c r="P297" i="23"/>
  <c r="Q297" i="23" s="1"/>
  <c r="Q296" i="23"/>
  <c r="W296" i="23" s="1"/>
  <c r="K646" i="23"/>
  <c r="K647" i="23" s="1"/>
  <c r="E647" i="23"/>
  <c r="C346" i="23"/>
  <c r="E345" i="23"/>
  <c r="K345" i="23" s="1"/>
  <c r="K571" i="23"/>
  <c r="K572" i="23" s="1"/>
  <c r="E572" i="23"/>
  <c r="Z646" i="23"/>
  <c r="AC646" i="23" s="1"/>
  <c r="AC645" i="23"/>
  <c r="AI645" i="23" s="1"/>
  <c r="K50" i="23"/>
  <c r="C595" i="23"/>
  <c r="E594" i="23"/>
  <c r="K594" i="23" s="1"/>
  <c r="W372" i="23"/>
  <c r="W373" i="23" s="1"/>
  <c r="Q373" i="23"/>
  <c r="W99" i="23"/>
  <c r="W100" i="23" s="1"/>
  <c r="Q100" i="23"/>
  <c r="N271" i="23"/>
  <c r="Q270" i="23"/>
  <c r="W270" i="23" s="1"/>
  <c r="W222" i="23"/>
  <c r="W223" i="23" s="1"/>
  <c r="K200" i="23" s="1"/>
  <c r="Q223" i="23"/>
  <c r="W546" i="23"/>
  <c r="W547" i="23" s="1"/>
  <c r="Q547" i="23"/>
  <c r="B758" i="23"/>
  <c r="E756" i="23"/>
  <c r="K756" i="23" s="1"/>
  <c r="E163" i="23"/>
  <c r="K163" i="23" s="1"/>
  <c r="B168" i="23"/>
  <c r="E168" i="23" s="1"/>
  <c r="K168" i="23" s="1"/>
  <c r="C396" i="23"/>
  <c r="E395" i="23"/>
  <c r="K395" i="23" s="1"/>
  <c r="K722" i="23"/>
  <c r="O696" i="23"/>
  <c r="Q696" i="23" s="1"/>
  <c r="Q695" i="23"/>
  <c r="W695" i="23" s="1"/>
  <c r="P758" i="23"/>
  <c r="Q756" i="23"/>
  <c r="W756" i="23" s="1"/>
  <c r="P247" i="23"/>
  <c r="Q247" i="23" s="1"/>
  <c r="Q246" i="23"/>
  <c r="W246" i="23" s="1"/>
  <c r="AC396" i="23"/>
  <c r="AI396" i="23" s="1"/>
  <c r="Z397" i="23"/>
  <c r="AC397" i="23" s="1"/>
  <c r="N621" i="23"/>
  <c r="Q621" i="23" s="1"/>
  <c r="Q620" i="23"/>
  <c r="W620" i="23" s="1"/>
  <c r="E454" i="23"/>
  <c r="K454" i="23" s="1"/>
  <c r="B456" i="23"/>
  <c r="AI671" i="23"/>
  <c r="AI672" i="23" s="1"/>
  <c r="AC672" i="23"/>
  <c r="AI497" i="23"/>
  <c r="AI96" i="23"/>
  <c r="Z456" i="23"/>
  <c r="AC454" i="23"/>
  <c r="AI454" i="23" s="1"/>
  <c r="AC220" i="23"/>
  <c r="AI220" i="23" s="1"/>
  <c r="Z221" i="23"/>
  <c r="AC497" i="23"/>
  <c r="E722" i="23"/>
  <c r="K100" i="23" l="1"/>
  <c r="Q25" i="23"/>
  <c r="AI547" i="23"/>
  <c r="AI697" i="23"/>
  <c r="Q198" i="23"/>
  <c r="K73" i="23"/>
  <c r="K75" i="23" s="1"/>
  <c r="K52" i="23" s="1"/>
  <c r="E75" i="23"/>
  <c r="AI75" i="23"/>
  <c r="B495" i="23"/>
  <c r="E495" i="23" s="1"/>
  <c r="E493" i="23"/>
  <c r="K493" i="23" s="1"/>
  <c r="K196" i="23"/>
  <c r="K198" i="23" s="1"/>
  <c r="E198" i="23"/>
  <c r="K27" i="23"/>
  <c r="Z372" i="23"/>
  <c r="AC372" i="23" s="1"/>
  <c r="AI372" i="23" s="1"/>
  <c r="AC371" i="23"/>
  <c r="AI371" i="23" s="1"/>
  <c r="E100" i="23"/>
  <c r="Q460" i="23"/>
  <c r="W456" i="23"/>
  <c r="W460" i="23" s="1"/>
  <c r="AH759" i="23"/>
  <c r="AG761" i="23"/>
  <c r="AH761" i="23" s="1"/>
  <c r="AI760" i="23" s="1"/>
  <c r="W491" i="23"/>
  <c r="W671" i="23"/>
  <c r="W672" i="23" s="1"/>
  <c r="K649" i="23" s="1"/>
  <c r="Q672" i="23"/>
  <c r="C621" i="23"/>
  <c r="E621" i="23" s="1"/>
  <c r="K621" i="23" s="1"/>
  <c r="E620" i="23"/>
  <c r="K620" i="23" s="1"/>
  <c r="AI621" i="23"/>
  <c r="AI622" i="23" s="1"/>
  <c r="AC622" i="23"/>
  <c r="W198" i="23"/>
  <c r="AI48" i="23"/>
  <c r="AI50" i="23" s="1"/>
  <c r="AC50" i="23"/>
  <c r="AC522" i="23"/>
  <c r="AI521" i="23"/>
  <c r="AI522" i="23" s="1"/>
  <c r="W647" i="23"/>
  <c r="AB297" i="23"/>
  <c r="AC297" i="23" s="1"/>
  <c r="AI297" i="23" s="1"/>
  <c r="AC296" i="23"/>
  <c r="AI296" i="23" s="1"/>
  <c r="AI197" i="23"/>
  <c r="AI198" i="23" s="1"/>
  <c r="AC198" i="23"/>
  <c r="C297" i="23"/>
  <c r="E297" i="23" s="1"/>
  <c r="K297" i="23" s="1"/>
  <c r="E296" i="23"/>
  <c r="AB571" i="23"/>
  <c r="AC571" i="23" s="1"/>
  <c r="AC570" i="23"/>
  <c r="AI570" i="23" s="1"/>
  <c r="N397" i="23"/>
  <c r="Q397" i="23" s="1"/>
  <c r="W397" i="23" s="1"/>
  <c r="Q396" i="23"/>
  <c r="K271" i="23"/>
  <c r="K273" i="23" s="1"/>
  <c r="E273" i="23"/>
  <c r="E173" i="23"/>
  <c r="K77" i="23"/>
  <c r="K624" i="23"/>
  <c r="Q570" i="23"/>
  <c r="W570" i="23" s="1"/>
  <c r="N571" i="23"/>
  <c r="Q571" i="23" s="1"/>
  <c r="W571" i="23" s="1"/>
  <c r="AI370" i="23"/>
  <c r="AC697" i="23"/>
  <c r="C546" i="23"/>
  <c r="E546" i="23" s="1"/>
  <c r="K546" i="23" s="1"/>
  <c r="E545" i="23"/>
  <c r="Q647" i="23"/>
  <c r="K699" i="23"/>
  <c r="AI295" i="23"/>
  <c r="AC547" i="23"/>
  <c r="P495" i="23"/>
  <c r="Q495" i="23" s="1"/>
  <c r="W495" i="23" s="1"/>
  <c r="Q493" i="23"/>
  <c r="W493" i="23" s="1"/>
  <c r="AA322" i="23"/>
  <c r="AC322" i="23" s="1"/>
  <c r="AI322" i="23" s="1"/>
  <c r="AC321" i="23"/>
  <c r="AA247" i="23"/>
  <c r="AC247" i="23" s="1"/>
  <c r="AI247" i="23" s="1"/>
  <c r="AC246" i="23"/>
  <c r="AC75" i="23"/>
  <c r="Z222" i="23"/>
  <c r="AC222" i="23" s="1"/>
  <c r="AC221" i="23"/>
  <c r="AI221" i="23" s="1"/>
  <c r="AI397" i="23"/>
  <c r="AI398" i="23" s="1"/>
  <c r="AC398" i="23"/>
  <c r="C347" i="23"/>
  <c r="E347" i="23" s="1"/>
  <c r="E346" i="23"/>
  <c r="K346" i="23" s="1"/>
  <c r="AI272" i="23"/>
  <c r="AI273" i="23" s="1"/>
  <c r="AC273" i="23"/>
  <c r="AC456" i="23"/>
  <c r="AI456" i="23" s="1"/>
  <c r="Z458" i="23"/>
  <c r="AC458" i="23" s="1"/>
  <c r="W621" i="23"/>
  <c r="W622" i="23" s="1"/>
  <c r="Q622" i="23"/>
  <c r="P760" i="23"/>
  <c r="Q760" i="23" s="1"/>
  <c r="Q758" i="23"/>
  <c r="W758" i="23" s="1"/>
  <c r="K173" i="23"/>
  <c r="K102" i="23" s="1"/>
  <c r="K696" i="23"/>
  <c r="K697" i="23" s="1"/>
  <c r="E697" i="23"/>
  <c r="AI422" i="23"/>
  <c r="AI423" i="23" s="1"/>
  <c r="AC423" i="23"/>
  <c r="B458" i="23"/>
  <c r="E458" i="23" s="1"/>
  <c r="E456" i="23"/>
  <c r="K456" i="23" s="1"/>
  <c r="C397" i="23"/>
  <c r="E397" i="23" s="1"/>
  <c r="E396" i="23"/>
  <c r="K396" i="23" s="1"/>
  <c r="E758" i="23"/>
  <c r="K758" i="23" s="1"/>
  <c r="C762" i="23"/>
  <c r="B760" i="23"/>
  <c r="E760" i="23" s="1"/>
  <c r="AI646" i="23"/>
  <c r="AI647" i="23" s="1"/>
  <c r="AC647" i="23"/>
  <c r="W297" i="23"/>
  <c r="W298" i="23" s="1"/>
  <c r="Q298" i="23"/>
  <c r="AA99" i="23"/>
  <c r="AC99" i="23" s="1"/>
  <c r="AC98" i="23"/>
  <c r="AI98" i="23" s="1"/>
  <c r="Q271" i="23"/>
  <c r="W271" i="23" s="1"/>
  <c r="N272" i="23"/>
  <c r="Q272" i="23" s="1"/>
  <c r="C596" i="23"/>
  <c r="E596" i="23" s="1"/>
  <c r="E595" i="23"/>
  <c r="K595" i="23" s="1"/>
  <c r="W247" i="23"/>
  <c r="Q248" i="23"/>
  <c r="W696" i="23"/>
  <c r="W697" i="23" s="1"/>
  <c r="Q697" i="23"/>
  <c r="K350" i="23"/>
  <c r="W572" i="23" l="1"/>
  <c r="K549" i="23" s="1"/>
  <c r="Q497" i="23"/>
  <c r="W396" i="23"/>
  <c r="W398" i="23" s="1"/>
  <c r="Q398" i="23"/>
  <c r="K296" i="23"/>
  <c r="K298" i="23" s="1"/>
  <c r="K275" i="23" s="1"/>
  <c r="E298" i="23"/>
  <c r="E497" i="23"/>
  <c r="K495" i="23"/>
  <c r="K497" i="23" s="1"/>
  <c r="W497" i="23"/>
  <c r="AI373" i="23"/>
  <c r="K175" i="23"/>
  <c r="AI298" i="23"/>
  <c r="AI246" i="23"/>
  <c r="AI248" i="23" s="1"/>
  <c r="AC248" i="23"/>
  <c r="Q572" i="23"/>
  <c r="AC373" i="23"/>
  <c r="AH762" i="23"/>
  <c r="AI758" i="23"/>
  <c r="AI762" i="23" s="1"/>
  <c r="K674" i="23"/>
  <c r="AI321" i="23"/>
  <c r="AI323" i="23" s="1"/>
  <c r="AC323" i="23"/>
  <c r="AC298" i="23"/>
  <c r="K545" i="23"/>
  <c r="K547" i="23" s="1"/>
  <c r="K524" i="23" s="1"/>
  <c r="E547" i="23"/>
  <c r="AI571" i="23"/>
  <c r="AI572" i="23" s="1"/>
  <c r="AC572" i="23"/>
  <c r="K622" i="23"/>
  <c r="K599" i="23" s="1"/>
  <c r="E622" i="23"/>
  <c r="W248" i="23"/>
  <c r="K225" i="23" s="1"/>
  <c r="K596" i="23"/>
  <c r="K597" i="23" s="1"/>
  <c r="K574" i="23" s="1"/>
  <c r="E597" i="23"/>
  <c r="K347" i="23"/>
  <c r="K348" i="23" s="1"/>
  <c r="K325" i="23" s="1"/>
  <c r="E348" i="23"/>
  <c r="W272" i="23"/>
  <c r="W273" i="23" s="1"/>
  <c r="K250" i="23" s="1"/>
  <c r="Q273" i="23"/>
  <c r="K397" i="23"/>
  <c r="K398" i="23" s="1"/>
  <c r="E398" i="23"/>
  <c r="W760" i="23"/>
  <c r="W762" i="23" s="1"/>
  <c r="Q762" i="23"/>
  <c r="K760" i="23"/>
  <c r="K762" i="23" s="1"/>
  <c r="E762" i="23"/>
  <c r="K458" i="23"/>
  <c r="E460" i="23"/>
  <c r="AI99" i="23"/>
  <c r="AI100" i="23" s="1"/>
  <c r="AC100" i="23"/>
  <c r="AC460" i="23"/>
  <c r="AI458" i="23"/>
  <c r="AI460" i="23" s="1"/>
  <c r="AI222" i="23"/>
  <c r="AI223" i="23" s="1"/>
  <c r="AC223" i="23"/>
  <c r="K462" i="23" l="1"/>
  <c r="K375" i="23"/>
  <c r="W763" i="23"/>
  <c r="K460" i="23"/>
  <c r="K425" i="23" s="1"/>
  <c r="K771" i="23"/>
  <c r="K767" i="23"/>
</calcChain>
</file>

<file path=xl/sharedStrings.xml><?xml version="1.0" encoding="utf-8"?>
<sst xmlns="http://schemas.openxmlformats.org/spreadsheetml/2006/main" count="4899" uniqueCount="197">
  <si>
    <t>予定使用電力量</t>
    <rPh sb="0" eb="2">
      <t>ヨテイ</t>
    </rPh>
    <rPh sb="2" eb="4">
      <t>シヨウ</t>
    </rPh>
    <rPh sb="4" eb="6">
      <t>デンリョク</t>
    </rPh>
    <rPh sb="6" eb="7">
      <t>リョウ</t>
    </rPh>
    <phoneticPr fontId="20"/>
  </si>
  <si>
    <t>予定
契約電力</t>
    <rPh sb="0" eb="2">
      <t>ヨテイ</t>
    </rPh>
    <rPh sb="3" eb="5">
      <t>ケイヤク</t>
    </rPh>
    <rPh sb="5" eb="7">
      <t>デンリョク</t>
    </rPh>
    <phoneticPr fontId="20"/>
  </si>
  <si>
    <t>（留意事項)
※夏季は毎年7月1日から9月30日までの期間とし,その他季は,夏季以外の期間とする。
※契約期間における予定平均力率は100%とする。
※基本料金単価(b欄)及び電力量料金単(ｆ欄)は、小数点以下第2位まで記入する。
※燃料費調整費、電気事業者による再生可能エネルギー電気の特別措置法に基づく賦課金は考慮しないこと。
(燃料費調整額、再生可能エネルギーについては、発電促進賦課金地域を管轄する一般電気事業者が定める特定規模需要標準供給条件等により別途支払います。)</t>
    <rPh sb="1" eb="3">
      <t>リュウイ</t>
    </rPh>
    <rPh sb="3" eb="5">
      <t>ジコウ</t>
    </rPh>
    <phoneticPr fontId="20"/>
  </si>
  <si>
    <t>夏季</t>
  </si>
  <si>
    <t>負荷率別契約</t>
    <rPh sb="0" eb="2">
      <t>フカ</t>
    </rPh>
    <rPh sb="2" eb="3">
      <t>リツ</t>
    </rPh>
    <rPh sb="3" eb="4">
      <t>ベツ</t>
    </rPh>
    <rPh sb="4" eb="6">
      <t>ケイヤク</t>
    </rPh>
    <phoneticPr fontId="20"/>
  </si>
  <si>
    <t>その他季平日</t>
    <rPh sb="2" eb="3">
      <t>タ</t>
    </rPh>
    <rPh sb="3" eb="4">
      <t>キ</t>
    </rPh>
    <rPh sb="4" eb="6">
      <t>ヘイジツ</t>
    </rPh>
    <phoneticPr fontId="20"/>
  </si>
  <si>
    <t>その他季休日</t>
    <rPh sb="2" eb="3">
      <t>タ</t>
    </rPh>
    <rPh sb="3" eb="4">
      <t>キ</t>
    </rPh>
    <rPh sb="4" eb="6">
      <t>キュウジツ</t>
    </rPh>
    <phoneticPr fontId="20"/>
  </si>
  <si>
    <t>夏季平日</t>
    <rPh sb="0" eb="1">
      <t>ナツ</t>
    </rPh>
    <rPh sb="1" eb="2">
      <t>キ</t>
    </rPh>
    <rPh sb="2" eb="4">
      <t>ヘイジツ</t>
    </rPh>
    <phoneticPr fontId="20"/>
  </si>
  <si>
    <t>夏季休日</t>
    <rPh sb="0" eb="1">
      <t>ナツ</t>
    </rPh>
    <rPh sb="1" eb="2">
      <t>キ</t>
    </rPh>
    <rPh sb="2" eb="4">
      <t>キュウジツ</t>
    </rPh>
    <phoneticPr fontId="20"/>
  </si>
  <si>
    <t>その他季</t>
  </si>
  <si>
    <t>シミュレーション前</t>
    <rPh sb="8" eb="9">
      <t>マエ</t>
    </rPh>
    <phoneticPr fontId="20"/>
  </si>
  <si>
    <t>シミュレーション後</t>
    <rPh sb="8" eb="9">
      <t>ゴ</t>
    </rPh>
    <phoneticPr fontId="20"/>
  </si>
  <si>
    <t xml:space="preserve">　住　所
　商　号
代表者名　　　　　　　　　　　　　　　　　　　　　　　印
</t>
    <rPh sb="1" eb="2">
      <t>ジュウ</t>
    </rPh>
    <rPh sb="3" eb="4">
      <t>ショ</t>
    </rPh>
    <rPh sb="7" eb="8">
      <t>ショウ</t>
    </rPh>
    <rPh sb="9" eb="10">
      <t>ゴウ</t>
    </rPh>
    <rPh sb="11" eb="14">
      <t>ダイヒョウシャ</t>
    </rPh>
    <rPh sb="14" eb="15">
      <t>メイ</t>
    </rPh>
    <rPh sb="38" eb="39">
      <t>イン</t>
    </rPh>
    <phoneticPr fontId="20"/>
  </si>
  <si>
    <t>（ｋＷ）</t>
    <phoneticPr fontId="20"/>
  </si>
  <si>
    <t>（％）</t>
    <phoneticPr fontId="20"/>
  </si>
  <si>
    <t>（ｋWh)</t>
    <phoneticPr fontId="20"/>
  </si>
  <si>
    <t>a</t>
    <phoneticPr fontId="20"/>
  </si>
  <si>
    <t>b</t>
    <phoneticPr fontId="20"/>
  </si>
  <si>
    <t>ｃ</t>
    <phoneticPr fontId="20"/>
  </si>
  <si>
    <t>d=a×b((185-c)/100)</t>
    <phoneticPr fontId="20"/>
  </si>
  <si>
    <t>e</t>
    <phoneticPr fontId="20"/>
  </si>
  <si>
    <t>f</t>
    <phoneticPr fontId="20"/>
  </si>
  <si>
    <t>ｈ=e×f</t>
    <phoneticPr fontId="20"/>
  </si>
  <si>
    <t>i=d+ｈ</t>
    <phoneticPr fontId="20"/>
  </si>
  <si>
    <t>基本料金</t>
    <rPh sb="0" eb="2">
      <t>キホン</t>
    </rPh>
    <rPh sb="2" eb="4">
      <t>リョウキン</t>
    </rPh>
    <phoneticPr fontId="20"/>
  </si>
  <si>
    <t>力率</t>
    <rPh sb="0" eb="1">
      <t>チカラ</t>
    </rPh>
    <rPh sb="1" eb="2">
      <t>リツ</t>
    </rPh>
    <phoneticPr fontId="20"/>
  </si>
  <si>
    <t>（％）</t>
    <phoneticPr fontId="20"/>
  </si>
  <si>
    <t>施設名称</t>
    <rPh sb="0" eb="2">
      <t>シセツ</t>
    </rPh>
    <rPh sb="2" eb="4">
      <t>メイショウ</t>
    </rPh>
    <phoneticPr fontId="20"/>
  </si>
  <si>
    <t>予定契約電力</t>
    <rPh sb="0" eb="2">
      <t>ヨテイ</t>
    </rPh>
    <rPh sb="2" eb="4">
      <t>ケイヤク</t>
    </rPh>
    <rPh sb="4" eb="6">
      <t>デンリョク</t>
    </rPh>
    <phoneticPr fontId="20"/>
  </si>
  <si>
    <t>単価　　　　　　　　　　　　　　　　　　　　（円/ｋW・月）</t>
    <rPh sb="0" eb="2">
      <t>タンカ</t>
    </rPh>
    <phoneticPr fontId="20"/>
  </si>
  <si>
    <t>※小数点以下　　　　　　　　　　　　第2位迄記入</t>
    <rPh sb="1" eb="4">
      <t>ショウスウテン</t>
    </rPh>
    <rPh sb="4" eb="6">
      <t>イカ</t>
    </rPh>
    <rPh sb="18" eb="19">
      <t>ダイ</t>
    </rPh>
    <rPh sb="20" eb="21">
      <t>イ</t>
    </rPh>
    <rPh sb="21" eb="22">
      <t>マデ</t>
    </rPh>
    <rPh sb="22" eb="24">
      <t>キニュウ</t>
    </rPh>
    <phoneticPr fontId="20"/>
  </si>
  <si>
    <t>基本料金（円）</t>
    <rPh sb="0" eb="2">
      <t>キホン</t>
    </rPh>
    <rPh sb="2" eb="4">
      <t>リョウキン</t>
    </rPh>
    <rPh sb="5" eb="6">
      <t>エン</t>
    </rPh>
    <phoneticPr fontId="20"/>
  </si>
  <si>
    <t>（％）</t>
    <phoneticPr fontId="20"/>
  </si>
  <si>
    <t>年　月</t>
    <rPh sb="0" eb="1">
      <t>トシ</t>
    </rPh>
    <rPh sb="2" eb="3">
      <t>ツキ</t>
    </rPh>
    <phoneticPr fontId="20"/>
  </si>
  <si>
    <t>従量料金</t>
    <rPh sb="0" eb="2">
      <t>ジュウリョウ</t>
    </rPh>
    <rPh sb="2" eb="4">
      <t>リョウキン</t>
    </rPh>
    <phoneticPr fontId="20"/>
  </si>
  <si>
    <t>総計　　　　　　　　　（円）</t>
    <rPh sb="0" eb="2">
      <t>ソウケイ</t>
    </rPh>
    <phoneticPr fontId="20"/>
  </si>
  <si>
    <t>予定電力量</t>
    <rPh sb="0" eb="2">
      <t>ヨテイ</t>
    </rPh>
    <rPh sb="2" eb="4">
      <t>デンリョク</t>
    </rPh>
    <rPh sb="4" eb="5">
      <t>リョウ</t>
    </rPh>
    <phoneticPr fontId="20"/>
  </si>
  <si>
    <t>単価　　　　　　　　（円/ｋWｈ）</t>
    <rPh sb="0" eb="2">
      <t>タンカ</t>
    </rPh>
    <phoneticPr fontId="20"/>
  </si>
  <si>
    <t>従量料金（円）</t>
    <rPh sb="0" eb="2">
      <t>ジュウリョウ</t>
    </rPh>
    <rPh sb="2" eb="4">
      <t>リョウキン</t>
    </rPh>
    <rPh sb="5" eb="6">
      <t>エン</t>
    </rPh>
    <phoneticPr fontId="20"/>
  </si>
  <si>
    <t>（ｋＷ）</t>
    <phoneticPr fontId="20"/>
  </si>
  <si>
    <t>※小数点以下第３位切捨て</t>
    <rPh sb="1" eb="4">
      <t>ショウスウテン</t>
    </rPh>
    <rPh sb="4" eb="6">
      <t>イカ</t>
    </rPh>
    <rPh sb="6" eb="7">
      <t>ダイ</t>
    </rPh>
    <rPh sb="8" eb="9">
      <t>イ</t>
    </rPh>
    <rPh sb="9" eb="11">
      <t>キリス</t>
    </rPh>
    <phoneticPr fontId="20"/>
  </si>
  <si>
    <t>年　　計</t>
    <rPh sb="0" eb="1">
      <t>ネン</t>
    </rPh>
    <rPh sb="3" eb="4">
      <t>ケイ</t>
    </rPh>
    <phoneticPr fontId="20"/>
  </si>
  <si>
    <t>　小数点以下切捨て</t>
    <rPh sb="1" eb="4">
      <t>ショウスウテン</t>
    </rPh>
    <rPh sb="4" eb="6">
      <t>イカ</t>
    </rPh>
    <rPh sb="6" eb="8">
      <t>キリス</t>
    </rPh>
    <phoneticPr fontId="20"/>
  </si>
  <si>
    <t>税抜き金額</t>
    <rPh sb="1" eb="2">
      <t>ヌ</t>
    </rPh>
    <phoneticPr fontId="20"/>
  </si>
  <si>
    <t>（ｋWh)</t>
    <phoneticPr fontId="20"/>
  </si>
  <si>
    <t>a</t>
    <phoneticPr fontId="20"/>
  </si>
  <si>
    <t>b</t>
    <phoneticPr fontId="20"/>
  </si>
  <si>
    <t>ｃ</t>
    <phoneticPr fontId="20"/>
  </si>
  <si>
    <t>f</t>
    <phoneticPr fontId="20"/>
  </si>
  <si>
    <t>単価　　　                 　　　　　（円/ｋWｈ）</t>
    <rPh sb="0" eb="2">
      <t>タンカ</t>
    </rPh>
    <phoneticPr fontId="20"/>
  </si>
  <si>
    <t>（ｋＷ）</t>
    <phoneticPr fontId="20"/>
  </si>
  <si>
    <t>（ｋWh)</t>
    <phoneticPr fontId="20"/>
  </si>
  <si>
    <t>a</t>
    <phoneticPr fontId="20"/>
  </si>
  <si>
    <t>b</t>
    <phoneticPr fontId="20"/>
  </si>
  <si>
    <t>ｃ</t>
    <phoneticPr fontId="20"/>
  </si>
  <si>
    <t>e</t>
    <phoneticPr fontId="20"/>
  </si>
  <si>
    <t>f</t>
    <phoneticPr fontId="20"/>
  </si>
  <si>
    <t>ｈ=e×f</t>
    <phoneticPr fontId="20"/>
  </si>
  <si>
    <t>i=d+ｈ</t>
    <phoneticPr fontId="20"/>
  </si>
  <si>
    <t>　②×100/108=</t>
    <phoneticPr fontId="20"/>
  </si>
  <si>
    <t>・・・②</t>
    <phoneticPr fontId="20"/>
  </si>
  <si>
    <t>・・・①</t>
    <phoneticPr fontId="20"/>
  </si>
  <si>
    <t>No.</t>
    <phoneticPr fontId="20"/>
  </si>
  <si>
    <t>d=a×b((185-c)/100)×12</t>
    <phoneticPr fontId="20"/>
  </si>
  <si>
    <t>・・・③</t>
    <phoneticPr fontId="20"/>
  </si>
  <si>
    <t>税込み金額</t>
    <phoneticPr fontId="20"/>
  </si>
  <si>
    <t>No.</t>
    <phoneticPr fontId="20"/>
  </si>
  <si>
    <t>総　　　計　　　                   　　　　　　（円）</t>
    <rPh sb="0" eb="1">
      <t>フサ</t>
    </rPh>
    <rPh sb="4" eb="5">
      <t>ケイ</t>
    </rPh>
    <phoneticPr fontId="20"/>
  </si>
  <si>
    <t>総計</t>
    <rPh sb="0" eb="1">
      <t>フサ</t>
    </rPh>
    <rPh sb="1" eb="2">
      <t>ケイ</t>
    </rPh>
    <phoneticPr fontId="20"/>
  </si>
  <si>
    <t>入札予定額</t>
    <rPh sb="0" eb="2">
      <t>ニュウサツ</t>
    </rPh>
    <rPh sb="2" eb="4">
      <t>ヨテイ</t>
    </rPh>
    <rPh sb="4" eb="5">
      <t>ガク</t>
    </rPh>
    <phoneticPr fontId="20"/>
  </si>
  <si>
    <t>業務用電力Ａ</t>
    <rPh sb="0" eb="3">
      <t>ギョウムヨウ</t>
    </rPh>
    <rPh sb="3" eb="5">
      <t>デンリョク</t>
    </rPh>
    <phoneticPr fontId="20"/>
  </si>
  <si>
    <t>夏季</t>
    <rPh sb="0" eb="2">
      <t>カキ</t>
    </rPh>
    <phoneticPr fontId="20"/>
  </si>
  <si>
    <t>平成３０年　２月</t>
    <rPh sb="0" eb="2">
      <t>ヘイセイ</t>
    </rPh>
    <rPh sb="4" eb="5">
      <t>ネン</t>
    </rPh>
    <rPh sb="7" eb="8">
      <t>ガツ</t>
    </rPh>
    <phoneticPr fontId="20"/>
  </si>
  <si>
    <t>平成３０年　３月</t>
    <rPh sb="0" eb="2">
      <t>ヘイセイ</t>
    </rPh>
    <rPh sb="4" eb="5">
      <t>ネン</t>
    </rPh>
    <rPh sb="7" eb="8">
      <t>ガツ</t>
    </rPh>
    <phoneticPr fontId="20"/>
  </si>
  <si>
    <t>平成３０年　４月</t>
    <rPh sb="0" eb="2">
      <t>ヘイセイ</t>
    </rPh>
    <rPh sb="4" eb="5">
      <t>ネン</t>
    </rPh>
    <rPh sb="7" eb="8">
      <t>ガツ</t>
    </rPh>
    <phoneticPr fontId="20"/>
  </si>
  <si>
    <t>平成３０年　５月</t>
    <rPh sb="0" eb="2">
      <t>ヘイセイ</t>
    </rPh>
    <rPh sb="4" eb="5">
      <t>ネン</t>
    </rPh>
    <rPh sb="7" eb="8">
      <t>ガツ</t>
    </rPh>
    <phoneticPr fontId="20"/>
  </si>
  <si>
    <t>平成３０年　６月</t>
    <rPh sb="0" eb="2">
      <t>ヘイセイ</t>
    </rPh>
    <rPh sb="4" eb="5">
      <t>ネン</t>
    </rPh>
    <rPh sb="7" eb="8">
      <t>ガツ</t>
    </rPh>
    <phoneticPr fontId="20"/>
  </si>
  <si>
    <t>平成３０年　７月</t>
    <rPh sb="0" eb="2">
      <t>ヘイセイ</t>
    </rPh>
    <rPh sb="4" eb="5">
      <t>ネン</t>
    </rPh>
    <rPh sb="7" eb="8">
      <t>ガツ</t>
    </rPh>
    <phoneticPr fontId="20"/>
  </si>
  <si>
    <t>平成３０年　８月</t>
    <rPh sb="0" eb="2">
      <t>ヘイセイ</t>
    </rPh>
    <rPh sb="4" eb="5">
      <t>ネン</t>
    </rPh>
    <rPh sb="7" eb="8">
      <t>ガツ</t>
    </rPh>
    <phoneticPr fontId="20"/>
  </si>
  <si>
    <t>平成３０年　９月</t>
    <rPh sb="0" eb="2">
      <t>ヘイセイ</t>
    </rPh>
    <rPh sb="4" eb="5">
      <t>ネン</t>
    </rPh>
    <rPh sb="7" eb="8">
      <t>ガツ</t>
    </rPh>
    <phoneticPr fontId="20"/>
  </si>
  <si>
    <t>平成３０年　１０月</t>
    <rPh sb="0" eb="2">
      <t>ヘイセイ</t>
    </rPh>
    <rPh sb="4" eb="5">
      <t>ネン</t>
    </rPh>
    <rPh sb="8" eb="9">
      <t>ガツ</t>
    </rPh>
    <phoneticPr fontId="20"/>
  </si>
  <si>
    <t>平成３０年　１１月</t>
    <rPh sb="0" eb="2">
      <t>ヘイセイ</t>
    </rPh>
    <rPh sb="4" eb="5">
      <t>ネン</t>
    </rPh>
    <rPh sb="8" eb="9">
      <t>ガツ</t>
    </rPh>
    <phoneticPr fontId="20"/>
  </si>
  <si>
    <t>平成３０年　１２月</t>
    <rPh sb="0" eb="2">
      <t>ヘイセイ</t>
    </rPh>
    <rPh sb="4" eb="5">
      <t>ネン</t>
    </rPh>
    <rPh sb="8" eb="9">
      <t>ガツ</t>
    </rPh>
    <phoneticPr fontId="20"/>
  </si>
  <si>
    <t>平成３０年　１月</t>
    <rPh sb="0" eb="2">
      <t>ヘイセイ</t>
    </rPh>
    <rPh sb="4" eb="5">
      <t>ネン</t>
    </rPh>
    <rPh sb="7" eb="8">
      <t>ガツ</t>
    </rPh>
    <phoneticPr fontId="20"/>
  </si>
  <si>
    <t>業務用電力Ａ－１</t>
    <rPh sb="0" eb="3">
      <t>ギョウムヨウ</t>
    </rPh>
    <rPh sb="3" eb="5">
      <t>デンリョク</t>
    </rPh>
    <phoneticPr fontId="20"/>
  </si>
  <si>
    <t>その他季</t>
    <rPh sb="2" eb="3">
      <t>タ</t>
    </rPh>
    <rPh sb="3" eb="4">
      <t>キ</t>
    </rPh>
    <phoneticPr fontId="20"/>
  </si>
  <si>
    <t>平成２９年　１月</t>
    <rPh sb="0" eb="2">
      <t>ヘイセイ</t>
    </rPh>
    <rPh sb="4" eb="5">
      <t>ネン</t>
    </rPh>
    <rPh sb="7" eb="8">
      <t>ガツ</t>
    </rPh>
    <phoneticPr fontId="20"/>
  </si>
  <si>
    <t>平成２９年　２月</t>
    <rPh sb="0" eb="2">
      <t>ヘイセイ</t>
    </rPh>
    <rPh sb="4" eb="5">
      <t>ネン</t>
    </rPh>
    <rPh sb="7" eb="8">
      <t>ガツ</t>
    </rPh>
    <phoneticPr fontId="20"/>
  </si>
  <si>
    <t>平成２９年　３月</t>
    <rPh sb="0" eb="2">
      <t>ヘイセイ</t>
    </rPh>
    <rPh sb="4" eb="5">
      <t>ネン</t>
    </rPh>
    <rPh sb="7" eb="8">
      <t>ガツ</t>
    </rPh>
    <phoneticPr fontId="20"/>
  </si>
  <si>
    <t>平成２９年　４月</t>
    <rPh sb="0" eb="2">
      <t>ヘイセイ</t>
    </rPh>
    <rPh sb="4" eb="5">
      <t>ネン</t>
    </rPh>
    <rPh sb="7" eb="8">
      <t>ガツ</t>
    </rPh>
    <phoneticPr fontId="20"/>
  </si>
  <si>
    <t>平成２９年　５月</t>
    <rPh sb="0" eb="2">
      <t>ヘイセイ</t>
    </rPh>
    <rPh sb="4" eb="5">
      <t>ネン</t>
    </rPh>
    <rPh sb="7" eb="8">
      <t>ガツ</t>
    </rPh>
    <phoneticPr fontId="20"/>
  </si>
  <si>
    <t>平成２９年　６月</t>
    <rPh sb="0" eb="2">
      <t>ヘイセイ</t>
    </rPh>
    <rPh sb="4" eb="5">
      <t>ネン</t>
    </rPh>
    <rPh sb="7" eb="8">
      <t>ガツ</t>
    </rPh>
    <phoneticPr fontId="20"/>
  </si>
  <si>
    <t>平成２９年　７月</t>
    <rPh sb="0" eb="2">
      <t>ヘイセイ</t>
    </rPh>
    <rPh sb="4" eb="5">
      <t>ネン</t>
    </rPh>
    <rPh sb="7" eb="8">
      <t>ガツ</t>
    </rPh>
    <phoneticPr fontId="20"/>
  </si>
  <si>
    <t>平成２９年　８月</t>
    <rPh sb="0" eb="2">
      <t>ヘイセイ</t>
    </rPh>
    <rPh sb="4" eb="5">
      <t>ネン</t>
    </rPh>
    <rPh sb="7" eb="8">
      <t>ガツ</t>
    </rPh>
    <phoneticPr fontId="20"/>
  </si>
  <si>
    <t>平成２９年　９月</t>
    <rPh sb="0" eb="2">
      <t>ヘイセイ</t>
    </rPh>
    <rPh sb="4" eb="5">
      <t>ネン</t>
    </rPh>
    <rPh sb="7" eb="8">
      <t>ガツ</t>
    </rPh>
    <phoneticPr fontId="20"/>
  </si>
  <si>
    <t>平成２９年　１０月</t>
    <rPh sb="0" eb="2">
      <t>ヘイセイ</t>
    </rPh>
    <rPh sb="4" eb="5">
      <t>ネン</t>
    </rPh>
    <rPh sb="8" eb="9">
      <t>ガツ</t>
    </rPh>
    <phoneticPr fontId="20"/>
  </si>
  <si>
    <t>平成２９年　１１月</t>
    <rPh sb="0" eb="2">
      <t>ヘイセイ</t>
    </rPh>
    <rPh sb="4" eb="5">
      <t>ネン</t>
    </rPh>
    <rPh sb="8" eb="9">
      <t>ガツ</t>
    </rPh>
    <phoneticPr fontId="20"/>
  </si>
  <si>
    <t>平成２９年　１２月</t>
    <rPh sb="0" eb="2">
      <t>ヘイセイ</t>
    </rPh>
    <rPh sb="4" eb="5">
      <t>ネン</t>
    </rPh>
    <rPh sb="8" eb="9">
      <t>ガツ</t>
    </rPh>
    <phoneticPr fontId="20"/>
  </si>
  <si>
    <t>100Hまで(他)</t>
    <rPh sb="7" eb="8">
      <t>タ</t>
    </rPh>
    <phoneticPr fontId="20"/>
  </si>
  <si>
    <t>200Hまで(他)</t>
    <rPh sb="7" eb="8">
      <t>タ</t>
    </rPh>
    <phoneticPr fontId="20"/>
  </si>
  <si>
    <t>300Hまで(他)</t>
    <rPh sb="7" eb="8">
      <t>タ</t>
    </rPh>
    <phoneticPr fontId="20"/>
  </si>
  <si>
    <t>400Hまで(他)</t>
    <rPh sb="7" eb="8">
      <t>タ</t>
    </rPh>
    <phoneticPr fontId="20"/>
  </si>
  <si>
    <t>400H以上(他)</t>
    <rPh sb="4" eb="6">
      <t>イジョウ</t>
    </rPh>
    <rPh sb="7" eb="8">
      <t>タ</t>
    </rPh>
    <phoneticPr fontId="20"/>
  </si>
  <si>
    <t>100Hまで(夏)</t>
    <rPh sb="7" eb="8">
      <t>ナツ</t>
    </rPh>
    <phoneticPr fontId="20"/>
  </si>
  <si>
    <t>200Hまで(夏)</t>
    <rPh sb="7" eb="8">
      <t>ナツ</t>
    </rPh>
    <phoneticPr fontId="20"/>
  </si>
  <si>
    <t>300Hまで(夏)</t>
    <rPh sb="7" eb="8">
      <t>ナツ</t>
    </rPh>
    <phoneticPr fontId="20"/>
  </si>
  <si>
    <t>400Hまで(夏)</t>
    <rPh sb="7" eb="8">
      <t>ナツ</t>
    </rPh>
    <phoneticPr fontId="20"/>
  </si>
  <si>
    <t>400H以上(夏)</t>
    <rPh sb="4" eb="6">
      <t>イジョウ</t>
    </rPh>
    <rPh sb="7" eb="8">
      <t>ナツ</t>
    </rPh>
    <phoneticPr fontId="20"/>
  </si>
  <si>
    <t>平日(他季)</t>
    <rPh sb="0" eb="2">
      <t>ヘイジツ</t>
    </rPh>
    <rPh sb="3" eb="4">
      <t>タ</t>
    </rPh>
    <rPh sb="4" eb="5">
      <t>キ</t>
    </rPh>
    <phoneticPr fontId="20"/>
  </si>
  <si>
    <t>休日(他季)</t>
    <rPh sb="0" eb="2">
      <t>キュウジツ</t>
    </rPh>
    <rPh sb="3" eb="4">
      <t>タ</t>
    </rPh>
    <rPh sb="4" eb="5">
      <t>キ</t>
    </rPh>
    <phoneticPr fontId="20"/>
  </si>
  <si>
    <t>平日(夏季)</t>
    <rPh sb="0" eb="2">
      <t>ヘイジツ</t>
    </rPh>
    <rPh sb="3" eb="4">
      <t>ナツ</t>
    </rPh>
    <rPh sb="4" eb="5">
      <t>キ</t>
    </rPh>
    <phoneticPr fontId="20"/>
  </si>
  <si>
    <t>休日(夏季)</t>
    <rPh sb="0" eb="2">
      <t>キュウジツ</t>
    </rPh>
    <rPh sb="3" eb="4">
      <t>ナツ</t>
    </rPh>
    <rPh sb="4" eb="5">
      <t>キ</t>
    </rPh>
    <phoneticPr fontId="20"/>
  </si>
  <si>
    <t>その他季</t>
    <phoneticPr fontId="20"/>
  </si>
  <si>
    <t>・・・①</t>
    <phoneticPr fontId="20"/>
  </si>
  <si>
    <t>小郡市総合保健福祉センター
あすてらす</t>
  </si>
  <si>
    <t>味坂小学校</t>
  </si>
  <si>
    <t>御原小学校</t>
  </si>
  <si>
    <t>立石小学校</t>
  </si>
  <si>
    <t>三国小学校</t>
  </si>
  <si>
    <t>小郡市文化会館</t>
  </si>
  <si>
    <t>味坂校区公民館</t>
  </si>
  <si>
    <t>御原校区公民館</t>
  </si>
  <si>
    <t>立石校区公民館</t>
  </si>
  <si>
    <t>三国校区公民館</t>
  </si>
  <si>
    <t>小郡交流センター</t>
  </si>
  <si>
    <t>東野校区公民館</t>
  </si>
  <si>
    <t>小郡市体育館</t>
  </si>
  <si>
    <t>小郡市埋蔵文化財調査センター</t>
  </si>
  <si>
    <t>給食センター</t>
  </si>
  <si>
    <t>平成29年度小郡市役所庁舎外25施設電力需給</t>
    <phoneticPr fontId="20"/>
  </si>
  <si>
    <t>小郡市役所庁舎（南別館）</t>
    <rPh sb="8" eb="9">
      <t>ミナミ</t>
    </rPh>
    <rPh sb="9" eb="11">
      <t>ベッカン</t>
    </rPh>
    <phoneticPr fontId="20"/>
  </si>
  <si>
    <t>河北苑</t>
    <rPh sb="0" eb="2">
      <t>カワキタ</t>
    </rPh>
    <rPh sb="2" eb="3">
      <t>エン</t>
    </rPh>
    <phoneticPr fontId="20"/>
  </si>
  <si>
    <t>小郡市生涯学習センター</t>
    <rPh sb="0" eb="3">
      <t>オゴオリシ</t>
    </rPh>
    <rPh sb="3" eb="5">
      <t>ショウガイ</t>
    </rPh>
    <rPh sb="5" eb="7">
      <t>ガクシュウ</t>
    </rPh>
    <phoneticPr fontId="20"/>
  </si>
  <si>
    <t>高齢者社会活動支援センター</t>
    <rPh sb="0" eb="3">
      <t>コウレイシャ</t>
    </rPh>
    <rPh sb="3" eb="5">
      <t>シャカイ</t>
    </rPh>
    <rPh sb="5" eb="7">
      <t>カツドウ</t>
    </rPh>
    <rPh sb="7" eb="9">
      <t>シエン</t>
    </rPh>
    <phoneticPr fontId="20"/>
  </si>
  <si>
    <t>のぞみが丘小学校</t>
    <rPh sb="4" eb="5">
      <t>オカ</t>
    </rPh>
    <rPh sb="5" eb="8">
      <t>ショウガッコウ</t>
    </rPh>
    <phoneticPr fontId="20"/>
  </si>
  <si>
    <t>宝城中学校</t>
    <rPh sb="0" eb="1">
      <t>タカラ</t>
    </rPh>
    <rPh sb="1" eb="2">
      <t>シロ</t>
    </rPh>
    <rPh sb="2" eb="5">
      <t>チュウガッコウ</t>
    </rPh>
    <phoneticPr fontId="20"/>
  </si>
  <si>
    <t>大原中学校</t>
    <rPh sb="0" eb="2">
      <t>オオハラ</t>
    </rPh>
    <rPh sb="2" eb="5">
      <t>チュウガッコウ</t>
    </rPh>
    <phoneticPr fontId="20"/>
  </si>
  <si>
    <t>立石中学校</t>
    <rPh sb="0" eb="2">
      <t>タテイシ</t>
    </rPh>
    <rPh sb="2" eb="5">
      <t>チュウガッコウ</t>
    </rPh>
    <phoneticPr fontId="20"/>
  </si>
  <si>
    <t>小郡中学校</t>
    <rPh sb="0" eb="2">
      <t>オゴオリ</t>
    </rPh>
    <rPh sb="2" eb="5">
      <t>チュウガッコウ</t>
    </rPh>
    <phoneticPr fontId="20"/>
  </si>
  <si>
    <t>三国中学校</t>
    <rPh sb="0" eb="2">
      <t>ミクニ</t>
    </rPh>
    <rPh sb="2" eb="5">
      <t>チュウガッコウ</t>
    </rPh>
    <phoneticPr fontId="20"/>
  </si>
  <si>
    <t>業務用休日ｴｺﾉﾐｰ電力Ａ</t>
    <rPh sb="0" eb="3">
      <t>ギョウムヨウ</t>
    </rPh>
    <rPh sb="3" eb="5">
      <t>キュウジツ</t>
    </rPh>
    <rPh sb="10" eb="12">
      <t>デンリョク</t>
    </rPh>
    <phoneticPr fontId="20"/>
  </si>
  <si>
    <t>業務用休日ｴｺﾉﾐｰ電力Ａ－１</t>
    <rPh sb="0" eb="3">
      <t>ギョウムヨウ</t>
    </rPh>
    <rPh sb="3" eb="5">
      <t>キュウジツ</t>
    </rPh>
    <rPh sb="10" eb="12">
      <t>デンリョク</t>
    </rPh>
    <phoneticPr fontId="20"/>
  </si>
  <si>
    <r>
      <t>産業</t>
    </r>
    <r>
      <rPr>
        <sz val="11"/>
        <rFont val="ＭＳ Ｐゴシック"/>
        <family val="3"/>
        <charset val="128"/>
      </rPr>
      <t>用電力Ａ－１</t>
    </r>
    <rPh sb="0" eb="2">
      <t>サンギョウ</t>
    </rPh>
    <rPh sb="2" eb="3">
      <t>ヨウ</t>
    </rPh>
    <rPh sb="3" eb="5">
      <t>デンリョク</t>
    </rPh>
    <phoneticPr fontId="20"/>
  </si>
  <si>
    <t>（％）</t>
    <phoneticPr fontId="20"/>
  </si>
  <si>
    <t>（ｋWh)</t>
    <phoneticPr fontId="20"/>
  </si>
  <si>
    <t>（ｋＷ）</t>
    <phoneticPr fontId="20"/>
  </si>
  <si>
    <t>産業用電力Ａ</t>
    <rPh sb="0" eb="2">
      <t>サンギョウ</t>
    </rPh>
    <rPh sb="2" eb="3">
      <t>ヨウ</t>
    </rPh>
    <rPh sb="3" eb="5">
      <t>デンリョク</t>
    </rPh>
    <phoneticPr fontId="20"/>
  </si>
  <si>
    <t>No.</t>
    <phoneticPr fontId="20"/>
  </si>
  <si>
    <t>平成29年度小郡市役所庁舎外25施設電力需給</t>
    <phoneticPr fontId="20"/>
  </si>
  <si>
    <t>（平成３０年１月～平成３０年１２月期間中の予定金額）</t>
    <phoneticPr fontId="20"/>
  </si>
  <si>
    <t>小郡市役所庁舎</t>
    <phoneticPr fontId="20"/>
  </si>
  <si>
    <t>小郡市役所庁舎</t>
    <phoneticPr fontId="20"/>
  </si>
  <si>
    <t>（ｋＷ）</t>
    <phoneticPr fontId="20"/>
  </si>
  <si>
    <t>No.</t>
    <phoneticPr fontId="20"/>
  </si>
  <si>
    <t>・・・①</t>
    <phoneticPr fontId="20"/>
  </si>
  <si>
    <t>・・・②</t>
    <phoneticPr fontId="20"/>
  </si>
  <si>
    <t>No.</t>
    <phoneticPr fontId="20"/>
  </si>
  <si>
    <t>その他季昼間</t>
    <rPh sb="2" eb="3">
      <t>タ</t>
    </rPh>
    <rPh sb="3" eb="4">
      <t>キ</t>
    </rPh>
    <rPh sb="4" eb="6">
      <t>ヒルマ</t>
    </rPh>
    <phoneticPr fontId="20"/>
  </si>
  <si>
    <t>夜間</t>
    <rPh sb="0" eb="2">
      <t>ヤカン</t>
    </rPh>
    <phoneticPr fontId="20"/>
  </si>
  <si>
    <t>ピーク</t>
    <phoneticPr fontId="20"/>
  </si>
  <si>
    <t>ピーク</t>
    <phoneticPr fontId="20"/>
  </si>
  <si>
    <t>夏季昼間</t>
    <rPh sb="2" eb="4">
      <t>ヒルマ</t>
    </rPh>
    <phoneticPr fontId="20"/>
  </si>
  <si>
    <t>負荷率</t>
    <rPh sb="0" eb="2">
      <t>フカ</t>
    </rPh>
    <rPh sb="2" eb="3">
      <t>リツ</t>
    </rPh>
    <phoneticPr fontId="20"/>
  </si>
  <si>
    <t>小郡運動公園</t>
    <rPh sb="0" eb="2">
      <t>オゴオリ</t>
    </rPh>
    <rPh sb="2" eb="4">
      <t>ウンドウ</t>
    </rPh>
    <rPh sb="4" eb="6">
      <t>コウエン</t>
    </rPh>
    <phoneticPr fontId="20"/>
  </si>
  <si>
    <t>業務用季時別電力Ａ</t>
    <rPh sb="0" eb="2">
      <t>ギョウム</t>
    </rPh>
    <rPh sb="2" eb="3">
      <t>ヨウ</t>
    </rPh>
    <rPh sb="3" eb="4">
      <t>キ</t>
    </rPh>
    <rPh sb="4" eb="5">
      <t>ジ</t>
    </rPh>
    <rPh sb="5" eb="6">
      <t>ベツ</t>
    </rPh>
    <rPh sb="6" eb="8">
      <t>デンリョク</t>
    </rPh>
    <phoneticPr fontId="20"/>
  </si>
  <si>
    <t>業務用季時別電力Ａ－１</t>
    <rPh sb="0" eb="2">
      <t>ギョウム</t>
    </rPh>
    <rPh sb="2" eb="3">
      <t>ヨウ</t>
    </rPh>
    <rPh sb="3" eb="4">
      <t>キ</t>
    </rPh>
    <rPh sb="4" eb="5">
      <t>ジ</t>
    </rPh>
    <rPh sb="5" eb="6">
      <t>ベツ</t>
    </rPh>
    <rPh sb="6" eb="8">
      <t>デンリョク</t>
    </rPh>
    <phoneticPr fontId="20"/>
  </si>
  <si>
    <t>a</t>
    <phoneticPr fontId="20"/>
  </si>
  <si>
    <t>b</t>
    <phoneticPr fontId="20"/>
  </si>
  <si>
    <t>ｃ</t>
    <phoneticPr fontId="20"/>
  </si>
  <si>
    <t>d=a×b((185-c)/100)</t>
    <phoneticPr fontId="20"/>
  </si>
  <si>
    <t>e</t>
    <phoneticPr fontId="20"/>
  </si>
  <si>
    <t>f</t>
    <phoneticPr fontId="20"/>
  </si>
  <si>
    <t>ｈ=e×f</t>
    <phoneticPr fontId="20"/>
  </si>
  <si>
    <t>i=d+ｈ</t>
    <phoneticPr fontId="20"/>
  </si>
  <si>
    <t>エネサーブ</t>
    <phoneticPr fontId="20"/>
  </si>
  <si>
    <t>平成29年度小郡市役所庁舎外26施設電力需給</t>
    <phoneticPr fontId="20"/>
  </si>
  <si>
    <t>ピーク</t>
  </si>
  <si>
    <t>その他季昼間</t>
  </si>
  <si>
    <t>入札価格（合計）</t>
    <rPh sb="0" eb="2">
      <t>ニュウサツ</t>
    </rPh>
    <rPh sb="2" eb="4">
      <t>カカク</t>
    </rPh>
    <rPh sb="5" eb="7">
      <t>ゴウケイ</t>
    </rPh>
    <phoneticPr fontId="20"/>
  </si>
  <si>
    <t>※１円未満切り上げ</t>
    <rPh sb="2" eb="3">
      <t>エン</t>
    </rPh>
    <rPh sb="3" eb="5">
      <t>ミマン</t>
    </rPh>
    <rPh sb="5" eb="6">
      <t>キ</t>
    </rPh>
    <rPh sb="7" eb="8">
      <t>ア</t>
    </rPh>
    <phoneticPr fontId="20"/>
  </si>
  <si>
    <t>【入札内訳書】</t>
    <phoneticPr fontId="20"/>
  </si>
  <si>
    <t>・・・①</t>
    <phoneticPr fontId="20"/>
  </si>
  <si>
    <t>税込み金額</t>
    <phoneticPr fontId="20"/>
  </si>
  <si>
    <t>・・・②</t>
    <phoneticPr fontId="20"/>
  </si>
  <si>
    <t>・・・③</t>
    <phoneticPr fontId="20"/>
  </si>
  <si>
    <t>　②×100/110=</t>
    <phoneticPr fontId="20"/>
  </si>
  <si>
    <t>※月毎の料金を小数点以下第３位切捨てし、12倍したもの</t>
    <rPh sb="1" eb="3">
      <t>ツキゴト</t>
    </rPh>
    <rPh sb="4" eb="6">
      <t>リョウキン</t>
    </rPh>
    <rPh sb="7" eb="10">
      <t>ショウスウテン</t>
    </rPh>
    <rPh sb="10" eb="12">
      <t>イカ</t>
    </rPh>
    <rPh sb="12" eb="13">
      <t>ダイ</t>
    </rPh>
    <rPh sb="14" eb="15">
      <t>イ</t>
    </rPh>
    <rPh sb="15" eb="17">
      <t>キリス</t>
    </rPh>
    <rPh sb="22" eb="23">
      <t>バイ</t>
    </rPh>
    <phoneticPr fontId="20"/>
  </si>
  <si>
    <t>夏季平日</t>
  </si>
  <si>
    <t>夏季休日</t>
  </si>
  <si>
    <t>その他季平日</t>
  </si>
  <si>
    <t>その他季休日</t>
  </si>
  <si>
    <t>注）各施設の年額料金の総計は、別紙４-2の総計以下とすること。</t>
    <rPh sb="0" eb="1">
      <t>チュウ</t>
    </rPh>
    <rPh sb="2" eb="5">
      <t>カクシセツ</t>
    </rPh>
    <rPh sb="6" eb="8">
      <t>ネンガク</t>
    </rPh>
    <rPh sb="8" eb="10">
      <t>リョウキン</t>
    </rPh>
    <rPh sb="11" eb="13">
      <t>ソウケイ</t>
    </rPh>
    <rPh sb="15" eb="17">
      <t>ベッシ</t>
    </rPh>
    <rPh sb="21" eb="23">
      <t>ソウケイ</t>
    </rPh>
    <rPh sb="23" eb="25">
      <t>イカ</t>
    </rPh>
    <phoneticPr fontId="20"/>
  </si>
  <si>
    <r>
      <t xml:space="preserve">（留意事項)
※夏季は毎年7月1日から9月30日までの期間とし,その他季は,夏季以外の期間とする。
※契約期間における予定平均力率は100%とする。
※基本料金単価(b欄)及び電力量料金単(ｆ欄)は、小数点以下第2位まで記入する。
※燃料費調整・ 市場価格調整・離島ユニバーサルサービス調整及び再生可能エネルギー発電促進賦課金は考慮しないこと。
(燃料費調整・市場価格調整・離島ユニバーサルサービス調整及び再生可能エネルギー発電促進賦課金については、発電促進賦課金地域を管轄する一般電気事業者が定める特定規模需要標準供給条件等により別途支払います。)
</t>
    </r>
    <r>
      <rPr>
        <b/>
        <sz val="12"/>
        <color rgb="FFFF0000"/>
        <rFont val="ＭＳ Ｐゴシック"/>
        <family val="3"/>
        <charset val="128"/>
      </rPr>
      <t xml:space="preserve">
</t>
    </r>
    <rPh sb="1" eb="3">
      <t>リュウイ</t>
    </rPh>
    <rPh sb="3" eb="5">
      <t>ジコウ</t>
    </rPh>
    <phoneticPr fontId="20"/>
  </si>
  <si>
    <t>東野小学校</t>
    <phoneticPr fontId="20"/>
  </si>
  <si>
    <t>のぞみが丘小学校</t>
    <phoneticPr fontId="20"/>
  </si>
  <si>
    <t>令和８年度小郡市役所庁舎外２８施設電力需給</t>
  </si>
  <si>
    <t>（令和８年４月～令和９年３月期間中の予定使用電力量)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</si>
</sst>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9" formatCode="0.0%"/>
  </numFmts>
  <fonts count="57"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2"/>
      <name val="ＭＳ Ｐ明朝"/>
      <family val="1"/>
      <charset val="128"/>
    </font>
    <font>
      <b/>
      <sz val="14"/>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sz val="14"/>
      <name val="ＭＳ Ｐゴシック"/>
      <family val="3"/>
      <charset val="128"/>
    </font>
    <font>
      <b/>
      <sz val="16"/>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b/>
      <sz val="9"/>
      <name val="ＭＳ Ｐゴシック"/>
      <family val="3"/>
      <charset val="128"/>
    </font>
    <font>
      <sz val="16"/>
      <name val="ＭＳ Ｐゴシック"/>
      <family val="3"/>
      <charset val="128"/>
    </font>
    <font>
      <sz val="11"/>
      <name val="ＭＳ Ｐゴシック"/>
      <family val="3"/>
      <charset val="128"/>
    </font>
    <font>
      <b/>
      <sz val="11"/>
      <color indexed="10"/>
      <name val="ＭＳ Ｐゴシック"/>
      <family val="3"/>
      <charset val="128"/>
    </font>
    <font>
      <b/>
      <sz val="14"/>
      <color indexed="10"/>
      <name val="ＭＳ Ｐゴシック"/>
      <family val="3"/>
      <charset val="128"/>
    </font>
    <font>
      <b/>
      <sz val="28"/>
      <name val="ＭＳ Ｐ明朝"/>
      <family val="1"/>
      <charset val="128"/>
    </font>
    <font>
      <b/>
      <sz val="20"/>
      <name val="ＭＳ Ｐ明朝"/>
      <family val="1"/>
      <charset val="128"/>
    </font>
    <font>
      <sz val="14"/>
      <color indexed="12"/>
      <name val="ＭＳ Ｐゴシック"/>
      <family val="3"/>
      <charset val="128"/>
    </font>
    <font>
      <sz val="11"/>
      <color indexed="12"/>
      <name val="ＭＳ Ｐゴシック"/>
      <family val="3"/>
      <charset val="128"/>
    </font>
    <font>
      <b/>
      <sz val="11"/>
      <color indexed="12"/>
      <name val="ＭＳ Ｐゴシック"/>
      <family val="3"/>
      <charset val="128"/>
    </font>
    <font>
      <b/>
      <sz val="24"/>
      <name val="ＭＳ Ｐゴシック"/>
      <family val="3"/>
      <charset val="128"/>
    </font>
    <font>
      <b/>
      <sz val="14"/>
      <color indexed="12"/>
      <name val="ＭＳ Ｐゴシック"/>
      <family val="3"/>
      <charset val="128"/>
    </font>
    <font>
      <sz val="10"/>
      <color indexed="12"/>
      <name val="ＭＳ Ｐゴシック"/>
      <family val="3"/>
      <charset val="128"/>
    </font>
    <font>
      <sz val="9"/>
      <color indexed="12"/>
      <name val="ＭＳ Ｐゴシック"/>
      <family val="3"/>
      <charset val="128"/>
    </font>
    <font>
      <sz val="11"/>
      <color indexed="57"/>
      <name val="ＭＳ Ｐゴシック"/>
      <family val="3"/>
      <charset val="128"/>
    </font>
    <font>
      <sz val="12"/>
      <name val="ＭＳ Ｐゴシック"/>
      <family val="3"/>
      <charset val="128"/>
    </font>
    <font>
      <sz val="12"/>
      <color indexed="12"/>
      <name val="ＭＳ Ｐゴシック"/>
      <family val="3"/>
      <charset val="128"/>
    </font>
    <font>
      <b/>
      <sz val="10"/>
      <color indexed="12"/>
      <name val="ＭＳ Ｐゴシック"/>
      <family val="3"/>
      <charset val="128"/>
    </font>
    <font>
      <b/>
      <sz val="12"/>
      <color indexed="12"/>
      <name val="ＭＳ Ｐゴシック"/>
      <family val="3"/>
      <charset val="128"/>
    </font>
    <font>
      <sz val="16"/>
      <color theme="1"/>
      <name val="ＭＳ Ｐゴシック"/>
      <family val="3"/>
      <charset val="128"/>
    </font>
    <font>
      <b/>
      <sz val="12"/>
      <color rgb="FFFF0000"/>
      <name val="ＭＳ Ｐゴシック"/>
      <family val="3"/>
      <charset val="128"/>
    </font>
    <font>
      <sz val="14"/>
      <color theme="1"/>
      <name val="ＭＳ Ｐゴシック"/>
      <family val="3"/>
      <charset val="128"/>
    </font>
    <font>
      <b/>
      <sz val="28"/>
      <color theme="1"/>
      <name val="ＭＳ Ｐ明朝"/>
      <family val="1"/>
      <charset val="128"/>
    </font>
    <font>
      <b/>
      <sz val="12"/>
      <color theme="1"/>
      <name val="ＭＳ Ｐゴシック"/>
      <family val="3"/>
      <charset val="128"/>
    </font>
    <font>
      <b/>
      <sz val="20"/>
      <color rgb="FFFF0000"/>
      <name val="ＭＳ Ｐ明朝"/>
      <family val="1"/>
      <charset val="128"/>
    </font>
    <font>
      <b/>
      <sz val="10"/>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hair">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style="hair">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hair">
        <color indexed="64"/>
      </right>
      <top style="thin">
        <color indexed="64"/>
      </top>
      <bottom style="dotted">
        <color indexed="64"/>
      </bottom>
      <diagonal/>
    </border>
    <border>
      <left style="medium">
        <color indexed="64"/>
      </left>
      <right style="hair">
        <color indexed="64"/>
      </right>
      <top style="dotted">
        <color indexed="64"/>
      </top>
      <bottom style="dotted">
        <color indexed="64"/>
      </bottom>
      <diagonal/>
    </border>
    <border>
      <left style="medium">
        <color indexed="64"/>
      </left>
      <right style="hair">
        <color indexed="64"/>
      </right>
      <top style="dotted">
        <color indexed="64"/>
      </top>
      <bottom style="thin">
        <color indexed="64"/>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thin">
        <color indexed="64"/>
      </left>
      <right style="medium">
        <color indexed="64"/>
      </right>
      <top style="dotted">
        <color indexed="64"/>
      </top>
      <bottom style="thin">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right/>
      <top style="dotted">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diagonal/>
    </border>
    <border>
      <left style="medium">
        <color indexed="64"/>
      </left>
      <right style="hair">
        <color indexed="64"/>
      </right>
      <top/>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medium">
        <color indexed="64"/>
      </left>
      <right/>
      <top style="hair">
        <color indexed="64"/>
      </top>
      <bottom/>
      <diagonal/>
    </border>
  </borders>
  <cellStyleXfs count="46">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7" fillId="0" borderId="0" applyFon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7"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7" fillId="0" borderId="0" applyFont="0" applyFill="0" applyBorder="0" applyAlignment="0" applyProtection="0"/>
    <xf numFmtId="0" fontId="18" fillId="7" borderId="4" applyNumberFormat="0" applyAlignment="0" applyProtection="0">
      <alignment vertical="center"/>
    </xf>
    <xf numFmtId="0" fontId="7" fillId="0" borderId="0">
      <alignment vertical="center"/>
    </xf>
    <xf numFmtId="0" fontId="19" fillId="4" borderId="0" applyNumberFormat="0" applyBorder="0" applyAlignment="0" applyProtection="0">
      <alignment vertical="center"/>
    </xf>
  </cellStyleXfs>
  <cellXfs count="903">
    <xf numFmtId="0" fontId="0" fillId="0" borderId="0" xfId="0"/>
    <xf numFmtId="0" fontId="7" fillId="0" borderId="0" xfId="44" applyAlignment="1">
      <alignment horizontal="center" vertical="center"/>
    </xf>
    <xf numFmtId="0" fontId="7" fillId="0" borderId="0" xfId="44">
      <alignment vertical="center"/>
    </xf>
    <xf numFmtId="38" fontId="25" fillId="24" borderId="10" xfId="34" applyNumberFormat="1" applyFont="1" applyFill="1" applyBorder="1" applyAlignment="1">
      <alignment vertical="center"/>
    </xf>
    <xf numFmtId="38" fontId="7" fillId="0" borderId="0" xfId="34" applyAlignment="1">
      <alignment vertical="center"/>
    </xf>
    <xf numFmtId="0" fontId="7" fillId="0" borderId="0" xfId="44" applyFont="1" applyAlignment="1">
      <alignment horizontal="right" vertical="center"/>
    </xf>
    <xf numFmtId="0" fontId="28" fillId="0" borderId="0" xfId="44" applyFont="1" applyAlignment="1">
      <alignment horizontal="center" vertical="center"/>
    </xf>
    <xf numFmtId="0" fontId="1" fillId="0" borderId="0" xfId="44" applyFont="1" applyAlignment="1">
      <alignment horizontal="center" vertical="center"/>
    </xf>
    <xf numFmtId="38" fontId="1" fillId="0" borderId="0" xfId="34" applyFont="1" applyAlignment="1">
      <alignment horizontal="center" vertical="center"/>
    </xf>
    <xf numFmtId="0" fontId="1" fillId="0" borderId="13" xfId="44" applyFont="1" applyBorder="1" applyAlignment="1">
      <alignment horizontal="center" vertical="center" shrinkToFit="1"/>
    </xf>
    <xf numFmtId="0" fontId="25" fillId="0" borderId="13" xfId="44" applyFont="1" applyBorder="1" applyAlignment="1">
      <alignment horizontal="center" vertical="center" wrapText="1" shrinkToFit="1"/>
    </xf>
    <xf numFmtId="0" fontId="1" fillId="0" borderId="14" xfId="44" applyFont="1" applyBorder="1" applyAlignment="1">
      <alignment horizontal="center" vertical="center" shrinkToFit="1"/>
    </xf>
    <xf numFmtId="0" fontId="31" fillId="0" borderId="13" xfId="44" applyFont="1" applyBorder="1" applyAlignment="1">
      <alignment horizontal="center" vertical="center" wrapText="1" shrinkToFit="1"/>
    </xf>
    <xf numFmtId="0" fontId="1" fillId="0" borderId="15" xfId="44" applyFont="1" applyBorder="1" applyAlignment="1">
      <alignment horizontal="center" vertical="center" shrinkToFit="1"/>
    </xf>
    <xf numFmtId="0" fontId="1" fillId="0" borderId="0" xfId="44" applyFont="1" applyAlignment="1">
      <alignment vertical="center"/>
    </xf>
    <xf numFmtId="38" fontId="1" fillId="0" borderId="0" xfId="34" applyFont="1" applyAlignment="1">
      <alignment vertical="center"/>
    </xf>
    <xf numFmtId="0" fontId="28" fillId="0" borderId="0" xfId="44" applyFont="1" applyAlignment="1">
      <alignment vertical="center"/>
    </xf>
    <xf numFmtId="0" fontId="25" fillId="0" borderId="0" xfId="44" applyFont="1" applyAlignment="1">
      <alignment horizontal="center" vertical="center"/>
    </xf>
    <xf numFmtId="0" fontId="25" fillId="0" borderId="0" xfId="44" applyFont="1" applyAlignment="1">
      <alignment horizontal="left" vertical="center"/>
    </xf>
    <xf numFmtId="0" fontId="25" fillId="0" borderId="0" xfId="44" applyFont="1" applyAlignment="1">
      <alignment vertical="center"/>
    </xf>
    <xf numFmtId="0" fontId="28" fillId="0" borderId="0" xfId="44" applyFont="1" applyAlignment="1">
      <alignment horizontal="right" vertical="center"/>
    </xf>
    <xf numFmtId="40" fontId="33" fillId="24" borderId="16" xfId="34" applyNumberFormat="1" applyFont="1" applyFill="1" applyBorder="1" applyAlignment="1">
      <alignment horizontal="center" vertical="center" shrinkToFit="1"/>
    </xf>
    <xf numFmtId="40" fontId="26" fillId="0" borderId="17" xfId="34" applyNumberFormat="1" applyFont="1" applyBorder="1" applyAlignment="1">
      <alignment vertical="center" shrinkToFit="1"/>
    </xf>
    <xf numFmtId="40" fontId="26" fillId="0" borderId="18" xfId="34" applyNumberFormat="1" applyFont="1" applyBorder="1" applyAlignment="1">
      <alignment vertical="center" shrinkToFit="1"/>
    </xf>
    <xf numFmtId="40" fontId="33" fillId="24" borderId="19" xfId="34" applyNumberFormat="1" applyFont="1" applyFill="1" applyBorder="1" applyAlignment="1">
      <alignment horizontal="center" vertical="center" shrinkToFit="1"/>
    </xf>
    <xf numFmtId="40" fontId="26" fillId="0" borderId="20" xfId="34" applyNumberFormat="1" applyFont="1" applyBorder="1" applyAlignment="1">
      <alignment vertical="center" shrinkToFit="1"/>
    </xf>
    <xf numFmtId="40" fontId="26" fillId="0" borderId="21" xfId="34" applyNumberFormat="1" applyFont="1" applyBorder="1" applyAlignment="1">
      <alignment vertical="center" shrinkToFit="1"/>
    </xf>
    <xf numFmtId="40" fontId="26" fillId="0" borderId="22" xfId="34" applyNumberFormat="1" applyFont="1" applyBorder="1" applyAlignment="1">
      <alignment vertical="center" shrinkToFit="1"/>
    </xf>
    <xf numFmtId="40" fontId="33" fillId="24" borderId="0" xfId="34" applyNumberFormat="1" applyFont="1" applyFill="1" applyBorder="1" applyAlignment="1">
      <alignment horizontal="center" vertical="center" shrinkToFit="1"/>
    </xf>
    <xf numFmtId="40" fontId="26" fillId="0" borderId="23" xfId="34" applyNumberFormat="1" applyFont="1" applyBorder="1" applyAlignment="1">
      <alignment vertical="center" shrinkToFit="1"/>
    </xf>
    <xf numFmtId="40" fontId="33" fillId="24" borderId="24" xfId="34" applyNumberFormat="1" applyFont="1" applyFill="1" applyBorder="1" applyAlignment="1">
      <alignment horizontal="center" vertical="center" shrinkToFit="1"/>
    </xf>
    <xf numFmtId="0" fontId="7" fillId="0" borderId="0" xfId="44" applyAlignment="1">
      <alignment horizontal="left" vertical="center"/>
    </xf>
    <xf numFmtId="0" fontId="21" fillId="0" borderId="0" xfId="0" applyFont="1" applyFill="1" applyAlignment="1">
      <alignment vertical="center" shrinkToFit="1"/>
    </xf>
    <xf numFmtId="177" fontId="1" fillId="0" borderId="0" xfId="44" applyNumberFormat="1" applyFont="1" applyAlignment="1">
      <alignment vertical="center"/>
    </xf>
    <xf numFmtId="177" fontId="28" fillId="0" borderId="0" xfId="44" applyNumberFormat="1" applyFont="1" applyAlignment="1">
      <alignment vertical="center"/>
    </xf>
    <xf numFmtId="38" fontId="29" fillId="24" borderId="10" xfId="44" applyNumberFormat="1" applyFont="1" applyFill="1" applyBorder="1" applyAlignment="1">
      <alignment vertical="center"/>
    </xf>
    <xf numFmtId="0" fontId="1" fillId="0" borderId="0" xfId="0" applyFont="1" applyAlignment="1">
      <alignment vertical="center"/>
    </xf>
    <xf numFmtId="0" fontId="27" fillId="0" borderId="0" xfId="44" applyFont="1" applyAlignment="1">
      <alignment vertical="center"/>
    </xf>
    <xf numFmtId="38" fontId="29" fillId="24" borderId="10" xfId="34" applyNumberFormat="1" applyFont="1" applyFill="1" applyBorder="1" applyAlignment="1">
      <alignment vertical="center"/>
    </xf>
    <xf numFmtId="38" fontId="26" fillId="24" borderId="27" xfId="34" applyFont="1" applyFill="1" applyBorder="1" applyAlignment="1" applyProtection="1">
      <alignment vertical="center"/>
    </xf>
    <xf numFmtId="38" fontId="26" fillId="24" borderId="28" xfId="34" applyFont="1" applyFill="1" applyBorder="1" applyAlignment="1" applyProtection="1">
      <alignment vertical="center"/>
    </xf>
    <xf numFmtId="38" fontId="26" fillId="24" borderId="29" xfId="34" applyFont="1" applyFill="1" applyBorder="1" applyAlignment="1" applyProtection="1">
      <alignment vertical="center"/>
    </xf>
    <xf numFmtId="38" fontId="26" fillId="24" borderId="30" xfId="34" applyFont="1" applyFill="1" applyBorder="1" applyAlignment="1" applyProtection="1">
      <alignment vertical="center"/>
    </xf>
    <xf numFmtId="38" fontId="29" fillId="0" borderId="0" xfId="34" applyFont="1" applyAlignment="1">
      <alignment vertical="center"/>
    </xf>
    <xf numFmtId="38" fontId="29" fillId="25" borderId="0" xfId="34" applyFont="1" applyFill="1" applyAlignment="1">
      <alignment vertical="center"/>
    </xf>
    <xf numFmtId="176" fontId="37" fillId="0" borderId="0" xfId="0" applyNumberFormat="1" applyFont="1" applyFill="1" applyBorder="1" applyAlignment="1">
      <alignment vertical="center" wrapText="1" shrinkToFit="1"/>
    </xf>
    <xf numFmtId="0" fontId="36" fillId="0" borderId="0" xfId="0" applyFont="1" applyFill="1" applyAlignment="1">
      <alignment shrinkToFit="1"/>
    </xf>
    <xf numFmtId="0" fontId="39" fillId="0" borderId="0" xfId="44" applyFont="1" applyAlignment="1">
      <alignment horizontal="right" vertical="center"/>
    </xf>
    <xf numFmtId="38" fontId="22" fillId="24" borderId="10" xfId="34" applyFont="1" applyFill="1" applyBorder="1" applyAlignment="1">
      <alignment horizontal="center" vertical="center" shrinkToFit="1"/>
    </xf>
    <xf numFmtId="38" fontId="22" fillId="0" borderId="10" xfId="34" applyFont="1" applyBorder="1" applyAlignment="1">
      <alignment vertical="center" shrinkToFit="1"/>
    </xf>
    <xf numFmtId="38" fontId="22" fillId="0" borderId="10" xfId="34" applyFont="1" applyBorder="1" applyAlignment="1">
      <alignment horizontal="center" vertical="center" shrinkToFit="1"/>
    </xf>
    <xf numFmtId="40" fontId="27" fillId="0" borderId="38" xfId="34" applyNumberFormat="1" applyFont="1" applyBorder="1" applyAlignment="1">
      <alignment vertical="center" shrinkToFit="1"/>
    </xf>
    <xf numFmtId="40" fontId="27" fillId="24" borderId="38" xfId="34" applyNumberFormat="1" applyFont="1" applyFill="1" applyBorder="1" applyAlignment="1">
      <alignment horizontal="center" vertical="center" shrinkToFit="1"/>
    </xf>
    <xf numFmtId="38" fontId="27" fillId="24" borderId="39" xfId="34" applyFont="1" applyFill="1" applyBorder="1" applyAlignment="1">
      <alignment vertical="center" shrinkToFit="1"/>
    </xf>
    <xf numFmtId="38" fontId="27" fillId="0" borderId="10" xfId="34" applyFont="1" applyBorder="1" applyAlignment="1">
      <alignment vertical="center" shrinkToFit="1"/>
    </xf>
    <xf numFmtId="40" fontId="27" fillId="0" borderId="10" xfId="34" applyNumberFormat="1" applyFont="1" applyBorder="1" applyAlignment="1">
      <alignment vertical="center" shrinkToFit="1"/>
    </xf>
    <xf numFmtId="40" fontId="27" fillId="24" borderId="40" xfId="34" applyNumberFormat="1" applyFont="1" applyFill="1" applyBorder="1" applyAlignment="1">
      <alignment vertical="center" shrinkToFit="1"/>
    </xf>
    <xf numFmtId="0" fontId="36" fillId="0" borderId="0" xfId="0" applyFont="1" applyFill="1" applyAlignment="1">
      <alignment horizontal="left" shrinkToFit="1"/>
    </xf>
    <xf numFmtId="176" fontId="37" fillId="0" borderId="0" xfId="0" applyNumberFormat="1" applyFont="1" applyFill="1" applyBorder="1" applyAlignment="1">
      <alignment horizontal="left" vertical="center" wrapText="1" shrinkToFit="1"/>
    </xf>
    <xf numFmtId="0" fontId="30" fillId="0" borderId="0" xfId="44" applyFont="1" applyAlignment="1">
      <alignment horizontal="left" vertical="center"/>
    </xf>
    <xf numFmtId="38" fontId="25" fillId="24" borderId="0" xfId="34" applyNumberFormat="1" applyFont="1" applyFill="1" applyBorder="1" applyAlignment="1">
      <alignment vertical="center"/>
    </xf>
    <xf numFmtId="0" fontId="7" fillId="0" borderId="0" xfId="44" applyFill="1">
      <alignment vertical="center"/>
    </xf>
    <xf numFmtId="0" fontId="39" fillId="0" borderId="0" xfId="44" applyFont="1" applyAlignment="1">
      <alignment horizontal="left" vertical="center"/>
    </xf>
    <xf numFmtId="0" fontId="39" fillId="0" borderId="0" xfId="44" applyFont="1">
      <alignment vertical="center"/>
    </xf>
    <xf numFmtId="0" fontId="39" fillId="0" borderId="0" xfId="44" applyFont="1" applyAlignment="1">
      <alignment horizontal="center" vertical="center"/>
    </xf>
    <xf numFmtId="0" fontId="26" fillId="0" borderId="0" xfId="44" applyFont="1" applyFill="1">
      <alignment vertical="center"/>
    </xf>
    <xf numFmtId="0" fontId="1" fillId="0" borderId="44" xfId="44" applyFont="1" applyBorder="1" applyAlignment="1">
      <alignment horizontal="center" vertical="center" shrinkToFit="1"/>
    </xf>
    <xf numFmtId="38" fontId="26" fillId="24" borderId="45" xfId="34" applyFont="1" applyFill="1" applyBorder="1" applyAlignment="1" applyProtection="1">
      <alignment vertical="center"/>
    </xf>
    <xf numFmtId="40" fontId="33" fillId="24" borderId="46" xfId="34" applyNumberFormat="1" applyFont="1" applyFill="1" applyBorder="1" applyAlignment="1">
      <alignment horizontal="center" vertical="center" shrinkToFit="1"/>
    </xf>
    <xf numFmtId="38" fontId="26" fillId="24" borderId="43" xfId="34" applyFont="1" applyFill="1" applyBorder="1" applyAlignment="1" applyProtection="1">
      <alignment vertical="center"/>
    </xf>
    <xf numFmtId="40" fontId="26" fillId="0" borderId="26" xfId="34" applyNumberFormat="1" applyFont="1" applyBorder="1" applyAlignment="1">
      <alignment vertical="center" shrinkToFit="1"/>
    </xf>
    <xf numFmtId="40" fontId="33" fillId="24" borderId="48" xfId="34" applyNumberFormat="1" applyFont="1" applyFill="1" applyBorder="1" applyAlignment="1">
      <alignment horizontal="center" vertical="center" shrinkToFit="1"/>
    </xf>
    <xf numFmtId="40" fontId="33" fillId="24" borderId="49" xfId="34" applyNumberFormat="1" applyFont="1" applyFill="1" applyBorder="1" applyAlignment="1">
      <alignment horizontal="center" vertical="center" shrinkToFit="1"/>
    </xf>
    <xf numFmtId="38" fontId="7" fillId="0" borderId="51" xfId="44" applyNumberFormat="1" applyFont="1" applyBorder="1" applyAlignment="1">
      <alignment horizontal="left" vertical="center"/>
    </xf>
    <xf numFmtId="0" fontId="24" fillId="0" borderId="13" xfId="44" applyFont="1" applyBorder="1" applyAlignment="1">
      <alignment horizontal="center" vertical="center" shrinkToFit="1"/>
    </xf>
    <xf numFmtId="0" fontId="24" fillId="0" borderId="13" xfId="44" applyFont="1" applyBorder="1" applyAlignment="1">
      <alignment horizontal="center" vertical="center" wrapText="1" shrinkToFit="1"/>
    </xf>
    <xf numFmtId="0" fontId="23" fillId="0" borderId="15" xfId="44" applyFont="1" applyBorder="1" applyAlignment="1">
      <alignment horizontal="center" vertical="center" shrinkToFit="1"/>
    </xf>
    <xf numFmtId="0" fontId="23" fillId="0" borderId="36" xfId="44" applyFont="1" applyBorder="1" applyAlignment="1">
      <alignment horizontal="center" vertical="center" shrinkToFit="1"/>
    </xf>
    <xf numFmtId="0" fontId="23" fillId="0" borderId="44" xfId="44" applyFont="1" applyBorder="1" applyAlignment="1">
      <alignment horizontal="center" vertical="center" shrinkToFit="1"/>
    </xf>
    <xf numFmtId="40" fontId="7" fillId="0" borderId="13" xfId="34" applyNumberFormat="1" applyFont="1" applyBorder="1" applyAlignment="1">
      <alignment vertical="center" shrinkToFit="1"/>
    </xf>
    <xf numFmtId="40" fontId="24" fillId="24" borderId="52" xfId="34" applyNumberFormat="1" applyFont="1" applyFill="1" applyBorder="1" applyAlignment="1">
      <alignment horizontal="center" vertical="center" shrinkToFit="1"/>
    </xf>
    <xf numFmtId="177" fontId="7" fillId="24" borderId="53" xfId="0" applyNumberFormat="1" applyFont="1" applyFill="1" applyBorder="1" applyAlignment="1" applyProtection="1">
      <alignment vertical="center"/>
    </xf>
    <xf numFmtId="40" fontId="7" fillId="24" borderId="53" xfId="34" applyNumberFormat="1" applyFont="1" applyFill="1" applyBorder="1" applyAlignment="1">
      <alignment vertical="center" shrinkToFit="1"/>
    </xf>
    <xf numFmtId="0" fontId="7" fillId="0" borderId="0" xfId="44" applyFont="1">
      <alignment vertical="center"/>
    </xf>
    <xf numFmtId="0" fontId="7" fillId="0" borderId="15" xfId="44" applyFont="1" applyBorder="1" applyAlignment="1">
      <alignment horizontal="center" vertical="center" shrinkToFit="1"/>
    </xf>
    <xf numFmtId="40" fontId="7" fillId="0" borderId="15" xfId="34" applyNumberFormat="1" applyFont="1" applyBorder="1" applyAlignment="1">
      <alignment vertical="center" shrinkToFit="1"/>
    </xf>
    <xf numFmtId="40" fontId="24" fillId="24" borderId="36" xfId="34" applyNumberFormat="1" applyFont="1" applyFill="1" applyBorder="1" applyAlignment="1">
      <alignment horizontal="center" vertical="center" shrinkToFit="1"/>
    </xf>
    <xf numFmtId="177" fontId="7" fillId="24" borderId="44" xfId="0" applyNumberFormat="1" applyFont="1" applyFill="1" applyBorder="1" applyAlignment="1" applyProtection="1">
      <alignment vertical="center"/>
    </xf>
    <xf numFmtId="40" fontId="7" fillId="24" borderId="44" xfId="34" applyNumberFormat="1" applyFont="1" applyFill="1" applyBorder="1" applyAlignment="1">
      <alignment vertical="center" shrinkToFit="1"/>
    </xf>
    <xf numFmtId="0" fontId="3" fillId="0" borderId="0" xfId="44" applyFont="1">
      <alignment vertical="center"/>
    </xf>
    <xf numFmtId="0" fontId="7" fillId="0" borderId="54" xfId="44" applyFont="1" applyBorder="1" applyAlignment="1">
      <alignment horizontal="center" vertical="center" shrinkToFit="1"/>
    </xf>
    <xf numFmtId="38" fontId="7" fillId="0" borderId="50" xfId="34" applyFont="1" applyBorder="1" applyAlignment="1">
      <alignment vertical="center" shrinkToFit="1"/>
    </xf>
    <xf numFmtId="40" fontId="7" fillId="0" borderId="50" xfId="34" applyNumberFormat="1" applyFont="1" applyBorder="1" applyAlignment="1">
      <alignment vertical="center" shrinkToFit="1"/>
    </xf>
    <xf numFmtId="40" fontId="7" fillId="24" borderId="55" xfId="34" applyNumberFormat="1" applyFont="1" applyFill="1" applyBorder="1" applyAlignment="1">
      <alignment vertical="center" shrinkToFit="1"/>
    </xf>
    <xf numFmtId="38" fontId="7" fillId="24" borderId="56" xfId="34" applyFont="1" applyFill="1" applyBorder="1" applyAlignment="1">
      <alignment vertical="center" shrinkToFit="1"/>
    </xf>
    <xf numFmtId="40" fontId="7" fillId="24" borderId="56" xfId="34" applyNumberFormat="1" applyFont="1" applyFill="1" applyBorder="1" applyAlignment="1">
      <alignment vertical="center" shrinkToFit="1"/>
    </xf>
    <xf numFmtId="0" fontId="3" fillId="0" borderId="0" xfId="44" applyFont="1" applyFill="1" applyBorder="1">
      <alignment vertical="center"/>
    </xf>
    <xf numFmtId="40" fontId="24" fillId="24" borderId="31" xfId="34" applyNumberFormat="1" applyFont="1" applyFill="1" applyBorder="1" applyAlignment="1">
      <alignment horizontal="center" vertical="center" shrinkToFit="1"/>
    </xf>
    <xf numFmtId="40" fontId="39" fillId="0" borderId="13" xfId="34" applyNumberFormat="1" applyFont="1" applyBorder="1" applyAlignment="1">
      <alignment vertical="center" shrinkToFit="1"/>
    </xf>
    <xf numFmtId="40" fontId="39" fillId="0" borderId="15" xfId="34" applyNumberFormat="1" applyFont="1" applyBorder="1" applyAlignment="1">
      <alignment vertical="center" shrinkToFit="1"/>
    </xf>
    <xf numFmtId="40" fontId="39" fillId="0" borderId="57" xfId="34" applyNumberFormat="1" applyFont="1" applyBorder="1" applyAlignment="1">
      <alignment vertical="center" shrinkToFit="1"/>
    </xf>
    <xf numFmtId="40" fontId="39" fillId="0" borderId="58" xfId="34" applyNumberFormat="1" applyFont="1" applyBorder="1" applyAlignment="1">
      <alignment vertical="center" shrinkToFit="1"/>
    </xf>
    <xf numFmtId="40" fontId="39" fillId="0" borderId="59" xfId="34" applyNumberFormat="1" applyFont="1" applyBorder="1" applyAlignment="1">
      <alignment vertical="center" shrinkToFit="1"/>
    </xf>
    <xf numFmtId="40" fontId="39" fillId="0" borderId="60" xfId="34" applyNumberFormat="1" applyFont="1" applyBorder="1" applyAlignment="1">
      <alignment vertical="center" shrinkToFit="1"/>
    </xf>
    <xf numFmtId="38" fontId="7" fillId="0" borderId="0" xfId="44" applyNumberFormat="1" applyFont="1" applyFill="1" applyAlignment="1">
      <alignment horizontal="left" vertical="center"/>
    </xf>
    <xf numFmtId="0" fontId="7" fillId="0" borderId="61" xfId="44" applyFont="1" applyBorder="1" applyAlignment="1">
      <alignment horizontal="center" vertical="center" shrinkToFit="1"/>
    </xf>
    <xf numFmtId="38" fontId="44" fillId="0" borderId="13" xfId="34" applyFont="1" applyBorder="1" applyAlignment="1">
      <alignment horizontal="center" vertical="center" shrinkToFit="1"/>
    </xf>
    <xf numFmtId="0" fontId="7" fillId="0" borderId="13" xfId="44" applyFont="1" applyBorder="1" applyAlignment="1">
      <alignment horizontal="center" vertical="center" shrinkToFit="1"/>
    </xf>
    <xf numFmtId="38" fontId="24" fillId="24" borderId="61" xfId="34" applyFont="1" applyFill="1" applyBorder="1" applyAlignment="1">
      <alignment horizontal="center" vertical="center" shrinkToFit="1"/>
    </xf>
    <xf numFmtId="40" fontId="24" fillId="0" borderId="13" xfId="34" applyNumberFormat="1" applyFont="1" applyBorder="1" applyAlignment="1">
      <alignment vertical="center" shrinkToFit="1"/>
    </xf>
    <xf numFmtId="38" fontId="24" fillId="24" borderId="15" xfId="34" applyFont="1" applyFill="1" applyBorder="1" applyAlignment="1">
      <alignment horizontal="center" vertical="center" shrinkToFit="1"/>
    </xf>
    <xf numFmtId="40" fontId="24" fillId="0" borderId="15" xfId="34" applyNumberFormat="1" applyFont="1" applyBorder="1" applyAlignment="1">
      <alignment vertical="center" shrinkToFit="1"/>
    </xf>
    <xf numFmtId="38" fontId="1" fillId="24" borderId="13" xfId="34" applyFont="1" applyFill="1" applyBorder="1" applyAlignment="1">
      <alignment horizontal="center" vertical="center" shrinkToFit="1"/>
    </xf>
    <xf numFmtId="40" fontId="1" fillId="0" borderId="13" xfId="34" applyNumberFormat="1" applyFont="1" applyFill="1" applyBorder="1" applyAlignment="1">
      <alignment vertical="center" shrinkToFit="1"/>
    </xf>
    <xf numFmtId="38" fontId="24" fillId="0" borderId="13" xfId="34" applyFont="1" applyBorder="1" applyAlignment="1">
      <alignment horizontal="center" vertical="center" shrinkToFit="1"/>
    </xf>
    <xf numFmtId="38" fontId="24" fillId="0" borderId="15" xfId="34" applyFont="1" applyBorder="1" applyAlignment="1">
      <alignment horizontal="center" vertical="center" shrinkToFit="1"/>
    </xf>
    <xf numFmtId="40" fontId="1" fillId="0" borderId="13" xfId="34" applyNumberFormat="1" applyFont="1" applyBorder="1" applyAlignment="1">
      <alignment vertical="center" shrinkToFit="1"/>
    </xf>
    <xf numFmtId="38" fontId="1" fillId="0" borderId="13" xfId="34" applyFont="1" applyFill="1" applyBorder="1" applyAlignment="1">
      <alignment horizontal="center" vertical="center" shrinkToFit="1"/>
    </xf>
    <xf numFmtId="40" fontId="24" fillId="0" borderId="61" xfId="34" applyNumberFormat="1" applyFont="1" applyBorder="1" applyAlignment="1">
      <alignment vertical="center" shrinkToFit="1"/>
    </xf>
    <xf numFmtId="0" fontId="23" fillId="0" borderId="62" xfId="44" applyFont="1" applyBorder="1" applyAlignment="1">
      <alignment horizontal="center" vertical="center" shrinkToFit="1"/>
    </xf>
    <xf numFmtId="0" fontId="23" fillId="0" borderId="63" xfId="44" applyFont="1" applyBorder="1" applyAlignment="1">
      <alignment horizontal="center" vertical="center" shrinkToFit="1"/>
    </xf>
    <xf numFmtId="0" fontId="24" fillId="0" borderId="53" xfId="44" applyFont="1" applyBorder="1" applyAlignment="1">
      <alignment horizontal="center" vertical="center" shrinkToFit="1"/>
    </xf>
    <xf numFmtId="0" fontId="43" fillId="0" borderId="15" xfId="44" applyFont="1" applyBorder="1" applyAlignment="1">
      <alignment horizontal="center" vertical="center" shrinkToFit="1"/>
    </xf>
    <xf numFmtId="40" fontId="40" fillId="0" borderId="13" xfId="34" applyNumberFormat="1" applyFont="1" applyFill="1" applyBorder="1" applyAlignment="1">
      <alignment vertical="center" shrinkToFit="1"/>
    </xf>
    <xf numFmtId="40" fontId="40" fillId="0" borderId="13" xfId="34" applyNumberFormat="1" applyFont="1" applyBorder="1" applyAlignment="1">
      <alignment vertical="center" shrinkToFit="1"/>
    </xf>
    <xf numFmtId="40" fontId="44" fillId="0" borderId="13" xfId="34" applyNumberFormat="1" applyFont="1" applyBorder="1" applyAlignment="1">
      <alignment vertical="center" shrinkToFit="1"/>
    </xf>
    <xf numFmtId="40" fontId="44" fillId="0" borderId="15" xfId="34" applyNumberFormat="1" applyFont="1" applyBorder="1" applyAlignment="1">
      <alignment vertical="center" shrinkToFit="1"/>
    </xf>
    <xf numFmtId="40" fontId="44" fillId="0" borderId="61" xfId="34" applyNumberFormat="1" applyFont="1" applyBorder="1" applyAlignment="1">
      <alignment vertical="center" shrinkToFit="1"/>
    </xf>
    <xf numFmtId="40" fontId="40" fillId="0" borderId="57" xfId="34" applyNumberFormat="1" applyFont="1" applyBorder="1" applyAlignment="1">
      <alignment vertical="center" shrinkToFit="1"/>
    </xf>
    <xf numFmtId="40" fontId="40" fillId="0" borderId="58" xfId="34" applyNumberFormat="1" applyFont="1" applyBorder="1" applyAlignment="1">
      <alignment vertical="center" shrinkToFit="1"/>
    </xf>
    <xf numFmtId="40" fontId="40" fillId="0" borderId="59" xfId="34" applyNumberFormat="1" applyFont="1" applyBorder="1" applyAlignment="1">
      <alignment vertical="center" shrinkToFit="1"/>
    </xf>
    <xf numFmtId="40" fontId="44" fillId="0" borderId="59" xfId="34" applyNumberFormat="1" applyFont="1" applyBorder="1" applyAlignment="1">
      <alignment vertical="center" shrinkToFit="1"/>
    </xf>
    <xf numFmtId="40" fontId="44" fillId="0" borderId="58" xfId="34" applyNumberFormat="1" applyFont="1" applyBorder="1" applyAlignment="1">
      <alignment vertical="center" shrinkToFit="1"/>
    </xf>
    <xf numFmtId="40" fontId="44" fillId="0" borderId="60" xfId="34" applyNumberFormat="1" applyFont="1" applyBorder="1" applyAlignment="1">
      <alignment vertical="center" shrinkToFit="1"/>
    </xf>
    <xf numFmtId="38" fontId="39" fillId="0" borderId="51" xfId="44" applyNumberFormat="1" applyFont="1" applyBorder="1" applyAlignment="1">
      <alignment horizontal="left" vertical="center"/>
    </xf>
    <xf numFmtId="0" fontId="43" fillId="0" borderId="62" xfId="44" applyFont="1" applyBorder="1" applyAlignment="1">
      <alignment horizontal="center" vertical="center" shrinkToFit="1"/>
    </xf>
    <xf numFmtId="0" fontId="43" fillId="0" borderId="63" xfId="44" applyFont="1" applyBorder="1" applyAlignment="1">
      <alignment horizontal="center" vertical="center" shrinkToFit="1"/>
    </xf>
    <xf numFmtId="0" fontId="44" fillId="0" borderId="13" xfId="44" applyFont="1" applyBorder="1" applyAlignment="1">
      <alignment horizontal="center" vertical="center" shrinkToFit="1"/>
    </xf>
    <xf numFmtId="0" fontId="44" fillId="0" borderId="13" xfId="44" applyFont="1" applyBorder="1" applyAlignment="1">
      <alignment horizontal="center" vertical="center" wrapText="1" shrinkToFit="1"/>
    </xf>
    <xf numFmtId="0" fontId="44" fillId="0" borderId="53" xfId="44" applyFont="1" applyBorder="1" applyAlignment="1">
      <alignment horizontal="center" vertical="center" shrinkToFit="1"/>
    </xf>
    <xf numFmtId="0" fontId="43" fillId="0" borderId="36" xfId="44" applyFont="1" applyBorder="1" applyAlignment="1">
      <alignment horizontal="center" vertical="center" shrinkToFit="1"/>
    </xf>
    <xf numFmtId="0" fontId="43" fillId="0" borderId="44" xfId="44" applyFont="1" applyBorder="1" applyAlignment="1">
      <alignment horizontal="center" vertical="center" shrinkToFit="1"/>
    </xf>
    <xf numFmtId="0" fontId="39" fillId="0" borderId="13" xfId="44" applyFont="1" applyBorder="1" applyAlignment="1">
      <alignment horizontal="center" vertical="center" shrinkToFit="1"/>
    </xf>
    <xf numFmtId="38" fontId="40" fillId="24" borderId="13" xfId="34" applyFont="1" applyFill="1" applyBorder="1" applyAlignment="1">
      <alignment horizontal="center" vertical="center" shrinkToFit="1"/>
    </xf>
    <xf numFmtId="38" fontId="40" fillId="0" borderId="13" xfId="34" applyNumberFormat="1" applyFont="1" applyFill="1" applyBorder="1" applyAlignment="1">
      <alignment horizontal="center" vertical="center" shrinkToFit="1"/>
    </xf>
    <xf numFmtId="40" fontId="44" fillId="24" borderId="52" xfId="34" applyNumberFormat="1" applyFont="1" applyFill="1" applyBorder="1" applyAlignment="1">
      <alignment horizontal="center" vertical="center" shrinkToFit="1"/>
    </xf>
    <xf numFmtId="177" fontId="39" fillId="24" borderId="53" xfId="0" applyNumberFormat="1" applyFont="1" applyFill="1" applyBorder="1" applyAlignment="1" applyProtection="1">
      <alignment vertical="center"/>
    </xf>
    <xf numFmtId="40" fontId="39" fillId="24" borderId="53" xfId="34" applyNumberFormat="1" applyFont="1" applyFill="1" applyBorder="1" applyAlignment="1">
      <alignment vertical="center" shrinkToFit="1"/>
    </xf>
    <xf numFmtId="0" fontId="39" fillId="0" borderId="61" xfId="44" applyFont="1" applyBorder="1" applyAlignment="1">
      <alignment horizontal="center" vertical="center" shrinkToFit="1"/>
    </xf>
    <xf numFmtId="38" fontId="44" fillId="24" borderId="61" xfId="34" applyFont="1" applyFill="1" applyBorder="1" applyAlignment="1">
      <alignment horizontal="center" vertical="center" shrinkToFit="1"/>
    </xf>
    <xf numFmtId="0" fontId="39" fillId="0" borderId="15" xfId="44" applyFont="1" applyBorder="1" applyAlignment="1">
      <alignment horizontal="center" vertical="center" shrinkToFit="1"/>
    </xf>
    <xf numFmtId="38" fontId="44" fillId="24" borderId="15" xfId="34" applyFont="1" applyFill="1" applyBorder="1" applyAlignment="1">
      <alignment horizontal="center" vertical="center" shrinkToFit="1"/>
    </xf>
    <xf numFmtId="38" fontId="44" fillId="0" borderId="15" xfId="34" applyFont="1" applyBorder="1" applyAlignment="1">
      <alignment horizontal="center" vertical="center" shrinkToFit="1"/>
    </xf>
    <xf numFmtId="40" fontId="44" fillId="24" borderId="36" xfId="34" applyNumberFormat="1" applyFont="1" applyFill="1" applyBorder="1" applyAlignment="1">
      <alignment horizontal="center" vertical="center" shrinkToFit="1"/>
    </xf>
    <xf numFmtId="177" fontId="39" fillId="24" borderId="44" xfId="0" applyNumberFormat="1" applyFont="1" applyFill="1" applyBorder="1" applyAlignment="1" applyProtection="1">
      <alignment vertical="center"/>
    </xf>
    <xf numFmtId="40" fontId="39" fillId="24" borderId="44" xfId="34" applyNumberFormat="1" applyFont="1" applyFill="1" applyBorder="1" applyAlignment="1">
      <alignment vertical="center" shrinkToFit="1"/>
    </xf>
    <xf numFmtId="0" fontId="39" fillId="0" borderId="50" xfId="44" applyFont="1" applyBorder="1" applyAlignment="1">
      <alignment horizontal="center" vertical="center" shrinkToFit="1"/>
    </xf>
    <xf numFmtId="38" fontId="39" fillId="0" borderId="50" xfId="34" applyFont="1" applyBorder="1" applyAlignment="1">
      <alignment vertical="center" shrinkToFit="1"/>
    </xf>
    <xf numFmtId="40" fontId="39" fillId="0" borderId="50" xfId="34" applyNumberFormat="1" applyFont="1" applyBorder="1" applyAlignment="1">
      <alignment vertical="center" shrinkToFit="1"/>
    </xf>
    <xf numFmtId="40" fontId="39" fillId="24" borderId="55" xfId="34" applyNumberFormat="1" applyFont="1" applyFill="1" applyBorder="1" applyAlignment="1">
      <alignment vertical="center" shrinkToFit="1"/>
    </xf>
    <xf numFmtId="38" fontId="39" fillId="24" borderId="56" xfId="34" applyFont="1" applyFill="1" applyBorder="1" applyAlignment="1">
      <alignment vertical="center" shrinkToFit="1"/>
    </xf>
    <xf numFmtId="40" fontId="39" fillId="24" borderId="56" xfId="34" applyNumberFormat="1" applyFont="1" applyFill="1" applyBorder="1" applyAlignment="1">
      <alignment vertical="center" shrinkToFit="1"/>
    </xf>
    <xf numFmtId="38" fontId="39" fillId="0" borderId="0" xfId="34" applyFont="1" applyAlignment="1">
      <alignment vertical="center"/>
    </xf>
    <xf numFmtId="38" fontId="40" fillId="0" borderId="13" xfId="34" applyFont="1" applyFill="1" applyBorder="1" applyAlignment="1">
      <alignment horizontal="center" vertical="center" shrinkToFit="1"/>
    </xf>
    <xf numFmtId="0" fontId="39" fillId="0" borderId="54" xfId="44" applyFont="1" applyBorder="1" applyAlignment="1">
      <alignment horizontal="center" vertical="center" shrinkToFit="1"/>
    </xf>
    <xf numFmtId="38" fontId="39" fillId="0" borderId="0" xfId="44" applyNumberFormat="1" applyFont="1" applyAlignment="1">
      <alignment horizontal="left" vertical="center"/>
    </xf>
    <xf numFmtId="40" fontId="44" fillId="24" borderId="31" xfId="34" applyNumberFormat="1" applyFont="1" applyFill="1" applyBorder="1" applyAlignment="1">
      <alignment horizontal="center" vertical="center" shrinkToFit="1"/>
    </xf>
    <xf numFmtId="177" fontId="39" fillId="24" borderId="64" xfId="0" applyNumberFormat="1" applyFont="1" applyFill="1" applyBorder="1" applyAlignment="1" applyProtection="1">
      <alignment vertical="center"/>
    </xf>
    <xf numFmtId="40" fontId="43" fillId="24" borderId="65" xfId="34" applyNumberFormat="1" applyFont="1" applyFill="1" applyBorder="1" applyAlignment="1">
      <alignment horizontal="center" vertical="center" shrinkToFit="1"/>
    </xf>
    <xf numFmtId="177" fontId="39" fillId="24" borderId="66" xfId="0" applyNumberFormat="1" applyFont="1" applyFill="1" applyBorder="1" applyAlignment="1" applyProtection="1">
      <alignment vertical="center"/>
    </xf>
    <xf numFmtId="177" fontId="39" fillId="24" borderId="67" xfId="0" applyNumberFormat="1" applyFont="1" applyFill="1" applyBorder="1" applyAlignment="1" applyProtection="1">
      <alignment vertical="center"/>
    </xf>
    <xf numFmtId="40" fontId="43" fillId="24" borderId="68" xfId="34" applyNumberFormat="1" applyFont="1" applyFill="1" applyBorder="1" applyAlignment="1">
      <alignment horizontal="center" vertical="center" shrinkToFit="1"/>
    </xf>
    <xf numFmtId="177" fontId="39" fillId="24" borderId="69" xfId="0" applyNumberFormat="1" applyFont="1" applyFill="1" applyBorder="1" applyAlignment="1" applyProtection="1">
      <alignment vertical="center"/>
    </xf>
    <xf numFmtId="177" fontId="39" fillId="24" borderId="70" xfId="0" applyNumberFormat="1" applyFont="1" applyFill="1" applyBorder="1" applyAlignment="1" applyProtection="1">
      <alignment vertical="center"/>
    </xf>
    <xf numFmtId="40" fontId="40" fillId="0" borderId="71" xfId="34" applyNumberFormat="1" applyFont="1" applyBorder="1" applyAlignment="1">
      <alignment vertical="center" shrinkToFit="1"/>
    </xf>
    <xf numFmtId="40" fontId="39" fillId="0" borderId="71" xfId="34" applyNumberFormat="1" applyFont="1" applyBorder="1" applyAlignment="1">
      <alignment vertical="center" shrinkToFit="1"/>
    </xf>
    <xf numFmtId="40" fontId="43" fillId="24" borderId="72" xfId="34" applyNumberFormat="1" applyFont="1" applyFill="1" applyBorder="1" applyAlignment="1">
      <alignment horizontal="center" vertical="center" shrinkToFit="1"/>
    </xf>
    <xf numFmtId="177" fontId="39" fillId="24" borderId="73" xfId="0" applyNumberFormat="1" applyFont="1" applyFill="1" applyBorder="1" applyAlignment="1" applyProtection="1">
      <alignment vertical="center"/>
    </xf>
    <xf numFmtId="177" fontId="39" fillId="24" borderId="74" xfId="0" applyNumberFormat="1" applyFont="1" applyFill="1" applyBorder="1" applyAlignment="1" applyProtection="1">
      <alignment vertical="center"/>
    </xf>
    <xf numFmtId="40" fontId="43" fillId="24" borderId="75" xfId="34" applyNumberFormat="1" applyFont="1" applyFill="1" applyBorder="1" applyAlignment="1">
      <alignment horizontal="center" vertical="center" shrinkToFit="1"/>
    </xf>
    <xf numFmtId="177" fontId="39" fillId="24" borderId="76" xfId="0" applyNumberFormat="1" applyFont="1" applyFill="1" applyBorder="1" applyAlignment="1" applyProtection="1">
      <alignment vertical="center"/>
    </xf>
    <xf numFmtId="40" fontId="44" fillId="0" borderId="77" xfId="34" applyNumberFormat="1" applyFont="1" applyBorder="1" applyAlignment="1">
      <alignment horizontal="right" vertical="center" shrinkToFit="1"/>
    </xf>
    <xf numFmtId="40" fontId="44" fillId="0" borderId="78" xfId="34" applyNumberFormat="1" applyFont="1" applyBorder="1" applyAlignment="1">
      <alignment horizontal="right" vertical="center" shrinkToFit="1"/>
    </xf>
    <xf numFmtId="40" fontId="44" fillId="0" borderId="79" xfId="34" applyNumberFormat="1" applyFont="1" applyBorder="1" applyAlignment="1">
      <alignment horizontal="right" vertical="center" shrinkToFit="1"/>
    </xf>
    <xf numFmtId="177" fontId="39" fillId="24" borderId="80" xfId="0" applyNumberFormat="1" applyFont="1" applyFill="1" applyBorder="1" applyAlignment="1" applyProtection="1">
      <alignment vertical="center"/>
    </xf>
    <xf numFmtId="40" fontId="39" fillId="0" borderId="81" xfId="34" applyNumberFormat="1" applyFont="1" applyBorder="1" applyAlignment="1">
      <alignment vertical="center" shrinkToFit="1"/>
    </xf>
    <xf numFmtId="0" fontId="39" fillId="0" borderId="38" xfId="44" applyFont="1" applyBorder="1" applyAlignment="1">
      <alignment horizontal="center" vertical="center" shrinkToFit="1"/>
    </xf>
    <xf numFmtId="38" fontId="39" fillId="0" borderId="10" xfId="34" applyFont="1" applyBorder="1" applyAlignment="1">
      <alignment horizontal="center" vertical="center" shrinkToFit="1"/>
    </xf>
    <xf numFmtId="38" fontId="39" fillId="0" borderId="10" xfId="34" applyFont="1" applyBorder="1" applyAlignment="1">
      <alignment vertical="center" shrinkToFit="1"/>
    </xf>
    <xf numFmtId="40" fontId="39" fillId="0" borderId="10" xfId="34" applyNumberFormat="1" applyFont="1" applyBorder="1" applyAlignment="1">
      <alignment vertical="center" shrinkToFit="1"/>
    </xf>
    <xf numFmtId="40" fontId="43" fillId="24" borderId="55" xfId="34" applyNumberFormat="1" applyFont="1" applyFill="1" applyBorder="1" applyAlignment="1">
      <alignment vertical="center" shrinkToFit="1"/>
    </xf>
    <xf numFmtId="38" fontId="39" fillId="24" borderId="40" xfId="34" applyFont="1" applyFill="1" applyBorder="1" applyAlignment="1">
      <alignment vertical="center" shrinkToFit="1"/>
    </xf>
    <xf numFmtId="40" fontId="39" fillId="24" borderId="40" xfId="34" applyNumberFormat="1" applyFont="1" applyFill="1" applyBorder="1" applyAlignment="1">
      <alignment vertical="center" shrinkToFit="1"/>
    </xf>
    <xf numFmtId="38" fontId="39" fillId="0" borderId="0" xfId="34" applyFont="1" applyFill="1" applyAlignment="1">
      <alignment vertical="center"/>
    </xf>
    <xf numFmtId="38" fontId="39" fillId="0" borderId="0" xfId="34" applyFont="1" applyFill="1" applyBorder="1" applyAlignment="1">
      <alignment vertical="center"/>
    </xf>
    <xf numFmtId="6" fontId="39" fillId="0" borderId="51" xfId="42" applyFont="1" applyBorder="1" applyAlignment="1">
      <alignment horizontal="left" vertical="center"/>
    </xf>
    <xf numFmtId="40" fontId="44" fillId="24" borderId="65" xfId="34" applyNumberFormat="1" applyFont="1" applyFill="1" applyBorder="1" applyAlignment="1">
      <alignment horizontal="center" vertical="center" shrinkToFit="1"/>
    </xf>
    <xf numFmtId="177" fontId="39" fillId="24" borderId="57" xfId="0" applyNumberFormat="1" applyFont="1" applyFill="1" applyBorder="1" applyAlignment="1" applyProtection="1">
      <alignment vertical="center"/>
    </xf>
    <xf numFmtId="40" fontId="44" fillId="24" borderId="72" xfId="34" applyNumberFormat="1" applyFont="1" applyFill="1" applyBorder="1" applyAlignment="1">
      <alignment horizontal="center" vertical="center" shrinkToFit="1"/>
    </xf>
    <xf numFmtId="177" fontId="39" fillId="24" borderId="82" xfId="0" applyNumberFormat="1" applyFont="1" applyFill="1" applyBorder="1" applyAlignment="1" applyProtection="1">
      <alignment vertical="center"/>
    </xf>
    <xf numFmtId="177" fontId="39" fillId="24" borderId="58" xfId="0" applyNumberFormat="1" applyFont="1" applyFill="1" applyBorder="1" applyAlignment="1" applyProtection="1">
      <alignment vertical="center"/>
    </xf>
    <xf numFmtId="40" fontId="44" fillId="24" borderId="75" xfId="34" applyNumberFormat="1" applyFont="1" applyFill="1" applyBorder="1" applyAlignment="1">
      <alignment horizontal="center" vertical="center" shrinkToFit="1"/>
    </xf>
    <xf numFmtId="177" fontId="39" fillId="24" borderId="83" xfId="0" applyNumberFormat="1" applyFont="1" applyFill="1" applyBorder="1" applyAlignment="1" applyProtection="1">
      <alignment vertical="center"/>
    </xf>
    <xf numFmtId="177" fontId="39" fillId="24" borderId="59" xfId="0" applyNumberFormat="1" applyFont="1" applyFill="1" applyBorder="1" applyAlignment="1" applyProtection="1">
      <alignment vertical="center"/>
    </xf>
    <xf numFmtId="40" fontId="44" fillId="24" borderId="84" xfId="34" applyNumberFormat="1" applyFont="1" applyFill="1" applyBorder="1" applyAlignment="1">
      <alignment horizontal="center" vertical="center" shrinkToFit="1"/>
    </xf>
    <xf numFmtId="177" fontId="39" fillId="24" borderId="85" xfId="0" applyNumberFormat="1" applyFont="1" applyFill="1" applyBorder="1" applyAlignment="1" applyProtection="1">
      <alignment vertical="center"/>
    </xf>
    <xf numFmtId="40" fontId="39" fillId="24" borderId="32" xfId="34" applyNumberFormat="1" applyFont="1" applyFill="1" applyBorder="1" applyAlignment="1">
      <alignment vertical="center" shrinkToFit="1"/>
    </xf>
    <xf numFmtId="0" fontId="39" fillId="0" borderId="51" xfId="44" applyFont="1" applyBorder="1" applyAlignment="1">
      <alignment horizontal="left" vertical="center"/>
    </xf>
    <xf numFmtId="177" fontId="39" fillId="24" borderId="86" xfId="0" applyNumberFormat="1" applyFont="1" applyFill="1" applyBorder="1" applyAlignment="1" applyProtection="1">
      <alignment vertical="center"/>
    </xf>
    <xf numFmtId="38" fontId="39" fillId="0" borderId="0" xfId="44" applyNumberFormat="1" applyFont="1" applyFill="1" applyAlignment="1">
      <alignment horizontal="left" vertical="center"/>
    </xf>
    <xf numFmtId="177" fontId="39" fillId="24" borderId="87" xfId="0" applyNumberFormat="1" applyFont="1" applyFill="1" applyBorder="1" applyAlignment="1" applyProtection="1">
      <alignment vertical="center"/>
    </xf>
    <xf numFmtId="0" fontId="7" fillId="26" borderId="0" xfId="44" applyFont="1" applyFill="1" applyAlignment="1">
      <alignment horizontal="right" vertical="center"/>
    </xf>
    <xf numFmtId="0" fontId="7" fillId="26" borderId="0" xfId="44" applyFill="1" applyAlignment="1">
      <alignment horizontal="left" vertical="center"/>
    </xf>
    <xf numFmtId="0" fontId="7" fillId="26" borderId="0" xfId="44" applyFill="1">
      <alignment vertical="center"/>
    </xf>
    <xf numFmtId="0" fontId="7" fillId="26" borderId="0" xfId="44" applyFill="1" applyAlignment="1">
      <alignment horizontal="center" vertical="center"/>
    </xf>
    <xf numFmtId="38" fontId="7" fillId="26" borderId="51" xfId="44" applyNumberFormat="1" applyFont="1" applyFill="1" applyBorder="1" applyAlignment="1">
      <alignment horizontal="left" vertical="center"/>
    </xf>
    <xf numFmtId="0" fontId="23" fillId="26" borderId="62" xfId="44" applyFont="1" applyFill="1" applyBorder="1" applyAlignment="1">
      <alignment horizontal="center" vertical="center" shrinkToFit="1"/>
    </xf>
    <xf numFmtId="0" fontId="23" fillId="26" borderId="63" xfId="44" applyFont="1" applyFill="1" applyBorder="1" applyAlignment="1">
      <alignment horizontal="center" vertical="center" shrinkToFit="1"/>
    </xf>
    <xf numFmtId="0" fontId="24" fillId="26" borderId="13" xfId="44" applyFont="1" applyFill="1" applyBorder="1" applyAlignment="1">
      <alignment horizontal="center" vertical="center" shrinkToFit="1"/>
    </xf>
    <xf numFmtId="0" fontId="24" fillId="26" borderId="13" xfId="44" applyFont="1" applyFill="1" applyBorder="1" applyAlignment="1">
      <alignment horizontal="center" vertical="center" wrapText="1" shrinkToFit="1"/>
    </xf>
    <xf numFmtId="0" fontId="24" fillId="26" borderId="53" xfId="44" applyFont="1" applyFill="1" applyBorder="1" applyAlignment="1">
      <alignment horizontal="center" vertical="center" shrinkToFit="1"/>
    </xf>
    <xf numFmtId="0" fontId="23" fillId="26" borderId="15" xfId="44" applyFont="1" applyFill="1" applyBorder="1" applyAlignment="1">
      <alignment horizontal="center" vertical="center" shrinkToFit="1"/>
    </xf>
    <xf numFmtId="0" fontId="23" fillId="26" borderId="36" xfId="44" applyFont="1" applyFill="1" applyBorder="1" applyAlignment="1">
      <alignment horizontal="center" vertical="center" shrinkToFit="1"/>
    </xf>
    <xf numFmtId="0" fontId="23" fillId="26" borderId="44" xfId="44" applyFont="1" applyFill="1" applyBorder="1" applyAlignment="1">
      <alignment horizontal="center" vertical="center" shrinkToFit="1"/>
    </xf>
    <xf numFmtId="0" fontId="7" fillId="26" borderId="13" xfId="44" applyFont="1" applyFill="1" applyBorder="1" applyAlignment="1">
      <alignment horizontal="center" vertical="center" shrinkToFit="1"/>
    </xf>
    <xf numFmtId="38" fontId="1" fillId="26" borderId="13" xfId="34" applyFont="1" applyFill="1" applyBorder="1" applyAlignment="1">
      <alignment horizontal="center" vertical="center" shrinkToFit="1"/>
    </xf>
    <xf numFmtId="40" fontId="1" fillId="26" borderId="13" xfId="34" applyNumberFormat="1" applyFont="1" applyFill="1" applyBorder="1" applyAlignment="1">
      <alignment vertical="center" shrinkToFit="1"/>
    </xf>
    <xf numFmtId="38" fontId="1" fillId="26" borderId="13" xfId="34" applyNumberFormat="1" applyFont="1" applyFill="1" applyBorder="1" applyAlignment="1">
      <alignment horizontal="center" vertical="center" shrinkToFit="1"/>
    </xf>
    <xf numFmtId="40" fontId="7" fillId="26" borderId="13" xfId="34" applyNumberFormat="1" applyFont="1" applyFill="1" applyBorder="1" applyAlignment="1">
      <alignment vertical="center" shrinkToFit="1"/>
    </xf>
    <xf numFmtId="40" fontId="24" fillId="26" borderId="52" xfId="34" applyNumberFormat="1" applyFont="1" applyFill="1" applyBorder="1" applyAlignment="1">
      <alignment horizontal="center" vertical="center" shrinkToFit="1"/>
    </xf>
    <xf numFmtId="177" fontId="7" fillId="26" borderId="53" xfId="0" applyNumberFormat="1" applyFont="1" applyFill="1" applyBorder="1" applyAlignment="1" applyProtection="1">
      <alignment vertical="center"/>
    </xf>
    <xf numFmtId="40" fontId="7" fillId="26" borderId="53" xfId="34" applyNumberFormat="1" applyFont="1" applyFill="1" applyBorder="1" applyAlignment="1">
      <alignment vertical="center" shrinkToFit="1"/>
    </xf>
    <xf numFmtId="0" fontId="7" fillId="26" borderId="61" xfId="44" applyFont="1" applyFill="1" applyBorder="1" applyAlignment="1">
      <alignment horizontal="center" vertical="center" shrinkToFit="1"/>
    </xf>
    <xf numFmtId="38" fontId="24" fillId="26" borderId="61" xfId="34" applyFont="1" applyFill="1" applyBorder="1" applyAlignment="1">
      <alignment horizontal="center" vertical="center" shrinkToFit="1"/>
    </xf>
    <xf numFmtId="40" fontId="24" fillId="26" borderId="13" xfId="34" applyNumberFormat="1" applyFont="1" applyFill="1" applyBorder="1" applyAlignment="1">
      <alignment vertical="center" shrinkToFit="1"/>
    </xf>
    <xf numFmtId="38" fontId="24" fillId="26" borderId="13" xfId="34" applyFont="1" applyFill="1" applyBorder="1" applyAlignment="1">
      <alignment horizontal="center" vertical="center" shrinkToFit="1"/>
    </xf>
    <xf numFmtId="40" fontId="24" fillId="26" borderId="61" xfId="34" applyNumberFormat="1" applyFont="1" applyFill="1" applyBorder="1" applyAlignment="1">
      <alignment vertical="center" shrinkToFit="1"/>
    </xf>
    <xf numFmtId="0" fontId="7" fillId="26" borderId="15" xfId="44" applyFont="1" applyFill="1" applyBorder="1" applyAlignment="1">
      <alignment horizontal="center" vertical="center" shrinkToFit="1"/>
    </xf>
    <xf numFmtId="38" fontId="24" fillId="26" borderId="15" xfId="34" applyFont="1" applyFill="1" applyBorder="1" applyAlignment="1">
      <alignment horizontal="center" vertical="center" shrinkToFit="1"/>
    </xf>
    <xf numFmtId="40" fontId="24" fillId="26" borderId="15" xfId="34" applyNumberFormat="1" applyFont="1" applyFill="1" applyBorder="1" applyAlignment="1">
      <alignment vertical="center" shrinkToFit="1"/>
    </xf>
    <xf numFmtId="40" fontId="7" fillId="26" borderId="15" xfId="34" applyNumberFormat="1" applyFont="1" applyFill="1" applyBorder="1" applyAlignment="1">
      <alignment vertical="center" shrinkToFit="1"/>
    </xf>
    <xf numFmtId="40" fontId="24" fillId="26" borderId="36" xfId="34" applyNumberFormat="1" applyFont="1" applyFill="1" applyBorder="1" applyAlignment="1">
      <alignment horizontal="center" vertical="center" shrinkToFit="1"/>
    </xf>
    <xf numFmtId="177" fontId="7" fillId="26" borderId="44" xfId="0" applyNumberFormat="1" applyFont="1" applyFill="1" applyBorder="1" applyAlignment="1" applyProtection="1">
      <alignment vertical="center"/>
    </xf>
    <xf numFmtId="40" fontId="7" fillId="26" borderId="44" xfId="34" applyNumberFormat="1" applyFont="1" applyFill="1" applyBorder="1" applyAlignment="1">
      <alignment vertical="center" shrinkToFit="1"/>
    </xf>
    <xf numFmtId="0" fontId="7" fillId="26" borderId="50" xfId="44" applyFont="1" applyFill="1" applyBorder="1" applyAlignment="1">
      <alignment horizontal="center" vertical="center" shrinkToFit="1"/>
    </xf>
    <xf numFmtId="38" fontId="7" fillId="26" borderId="50" xfId="34" applyFont="1" applyFill="1" applyBorder="1" applyAlignment="1">
      <alignment vertical="center" shrinkToFit="1"/>
    </xf>
    <xf numFmtId="40" fontId="7" fillId="26" borderId="50" xfId="34" applyNumberFormat="1" applyFont="1" applyFill="1" applyBorder="1" applyAlignment="1">
      <alignment vertical="center" shrinkToFit="1"/>
    </xf>
    <xf numFmtId="40" fontId="7" fillId="26" borderId="55" xfId="34" applyNumberFormat="1" applyFont="1" applyFill="1" applyBorder="1" applyAlignment="1">
      <alignment vertical="center" shrinkToFit="1"/>
    </xf>
    <xf numFmtId="38" fontId="7" fillId="26" borderId="56" xfId="34" applyFont="1" applyFill="1" applyBorder="1" applyAlignment="1">
      <alignment vertical="center" shrinkToFit="1"/>
    </xf>
    <xf numFmtId="40" fontId="7" fillId="26" borderId="56" xfId="34" applyNumberFormat="1" applyFont="1" applyFill="1" applyBorder="1" applyAlignment="1">
      <alignment vertical="center" shrinkToFit="1"/>
    </xf>
    <xf numFmtId="38" fontId="7" fillId="26" borderId="0" xfId="34" applyFill="1" applyAlignment="1">
      <alignment vertical="center"/>
    </xf>
    <xf numFmtId="0" fontId="7" fillId="26" borderId="54" xfId="44" applyFont="1" applyFill="1" applyBorder="1" applyAlignment="1">
      <alignment horizontal="center" vertical="center" shrinkToFit="1"/>
    </xf>
    <xf numFmtId="38" fontId="7" fillId="26" borderId="0" xfId="44" applyNumberFormat="1" applyFont="1" applyFill="1" applyAlignment="1">
      <alignment horizontal="left" vertical="center"/>
    </xf>
    <xf numFmtId="40" fontId="24" fillId="26" borderId="31" xfId="34" applyNumberFormat="1" applyFont="1" applyFill="1" applyBorder="1" applyAlignment="1">
      <alignment horizontal="center" vertical="center" shrinkToFit="1"/>
    </xf>
    <xf numFmtId="177" fontId="7" fillId="26" borderId="64" xfId="0" applyNumberFormat="1" applyFont="1" applyFill="1" applyBorder="1" applyAlignment="1" applyProtection="1">
      <alignment vertical="center"/>
    </xf>
    <xf numFmtId="0" fontId="39" fillId="26" borderId="0" xfId="44" applyFont="1" applyFill="1" applyAlignment="1">
      <alignment horizontal="right" vertical="center"/>
    </xf>
    <xf numFmtId="0" fontId="39" fillId="26" borderId="0" xfId="44" applyFont="1" applyFill="1" applyAlignment="1">
      <alignment horizontal="left" vertical="center"/>
    </xf>
    <xf numFmtId="0" fontId="39" fillId="26" borderId="0" xfId="44" applyFont="1" applyFill="1">
      <alignment vertical="center"/>
    </xf>
    <xf numFmtId="0" fontId="39" fillId="26" borderId="0" xfId="44" applyFont="1" applyFill="1" applyAlignment="1">
      <alignment horizontal="center" vertical="center"/>
    </xf>
    <xf numFmtId="38" fontId="39" fillId="26" borderId="51" xfId="44" applyNumberFormat="1" applyFont="1" applyFill="1" applyBorder="1" applyAlignment="1">
      <alignment horizontal="left" vertical="center"/>
    </xf>
    <xf numFmtId="0" fontId="43" fillId="26" borderId="62" xfId="44" applyFont="1" applyFill="1" applyBorder="1" applyAlignment="1">
      <alignment horizontal="center" vertical="center" shrinkToFit="1"/>
    </xf>
    <xf numFmtId="0" fontId="43" fillId="26" borderId="63" xfId="44" applyFont="1" applyFill="1" applyBorder="1" applyAlignment="1">
      <alignment horizontal="center" vertical="center" shrinkToFit="1"/>
    </xf>
    <xf numFmtId="0" fontId="44" fillId="26" borderId="13" xfId="44" applyFont="1" applyFill="1" applyBorder="1" applyAlignment="1">
      <alignment horizontal="center" vertical="center" shrinkToFit="1"/>
    </xf>
    <xf numFmtId="0" fontId="44" fillId="26" borderId="13" xfId="44" applyFont="1" applyFill="1" applyBorder="1" applyAlignment="1">
      <alignment horizontal="center" vertical="center" wrapText="1" shrinkToFit="1"/>
    </xf>
    <xf numFmtId="0" fontId="44" fillId="26" borderId="53" xfId="44" applyFont="1" applyFill="1" applyBorder="1" applyAlignment="1">
      <alignment horizontal="center" vertical="center" shrinkToFit="1"/>
    </xf>
    <xf numFmtId="0" fontId="43" fillId="26" borderId="15" xfId="44" applyFont="1" applyFill="1" applyBorder="1" applyAlignment="1">
      <alignment horizontal="center" vertical="center" shrinkToFit="1"/>
    </xf>
    <xf numFmtId="0" fontId="43" fillId="26" borderId="36" xfId="44" applyFont="1" applyFill="1" applyBorder="1" applyAlignment="1">
      <alignment horizontal="center" vertical="center" shrinkToFit="1"/>
    </xf>
    <xf numFmtId="0" fontId="43" fillId="26" borderId="44" xfId="44" applyFont="1" applyFill="1" applyBorder="1" applyAlignment="1">
      <alignment horizontal="center" vertical="center" shrinkToFit="1"/>
    </xf>
    <xf numFmtId="0" fontId="39" fillId="26" borderId="13" xfId="44" applyFont="1" applyFill="1" applyBorder="1" applyAlignment="1">
      <alignment horizontal="center" vertical="center" shrinkToFit="1"/>
    </xf>
    <xf numFmtId="38" fontId="40" fillId="26" borderId="13" xfId="34" applyFont="1" applyFill="1" applyBorder="1" applyAlignment="1">
      <alignment horizontal="center" vertical="center" shrinkToFit="1"/>
    </xf>
    <xf numFmtId="40" fontId="40" fillId="26" borderId="13" xfId="34" applyNumberFormat="1" applyFont="1" applyFill="1" applyBorder="1" applyAlignment="1">
      <alignment vertical="center" shrinkToFit="1"/>
    </xf>
    <xf numFmtId="40" fontId="39" fillId="26" borderId="13" xfId="34" applyNumberFormat="1" applyFont="1" applyFill="1" applyBorder="1" applyAlignment="1">
      <alignment vertical="center" shrinkToFit="1"/>
    </xf>
    <xf numFmtId="40" fontId="44" fillId="26" borderId="31" xfId="34" applyNumberFormat="1" applyFont="1" applyFill="1" applyBorder="1" applyAlignment="1">
      <alignment horizontal="center" vertical="center" shrinkToFit="1"/>
    </xf>
    <xf numFmtId="177" fontId="39" fillId="26" borderId="53" xfId="0" applyNumberFormat="1" applyFont="1" applyFill="1" applyBorder="1" applyAlignment="1" applyProtection="1">
      <alignment vertical="center"/>
    </xf>
    <xf numFmtId="40" fontId="39" fillId="26" borderId="53" xfId="34" applyNumberFormat="1" applyFont="1" applyFill="1" applyBorder="1" applyAlignment="1">
      <alignment vertical="center" shrinkToFit="1"/>
    </xf>
    <xf numFmtId="0" fontId="39" fillId="26" borderId="61" xfId="44" applyFont="1" applyFill="1" applyBorder="1" applyAlignment="1">
      <alignment horizontal="center" vertical="center" shrinkToFit="1"/>
    </xf>
    <xf numFmtId="38" fontId="44" fillId="26" borderId="61" xfId="34" applyFont="1" applyFill="1" applyBorder="1" applyAlignment="1">
      <alignment horizontal="center" vertical="center" shrinkToFit="1"/>
    </xf>
    <xf numFmtId="40" fontId="44" fillId="26" borderId="13" xfId="34" applyNumberFormat="1" applyFont="1" applyFill="1" applyBorder="1" applyAlignment="1">
      <alignment vertical="center" shrinkToFit="1"/>
    </xf>
    <xf numFmtId="38" fontId="44" fillId="26" borderId="13" xfId="34" applyFont="1" applyFill="1" applyBorder="1" applyAlignment="1">
      <alignment horizontal="center" vertical="center" shrinkToFit="1"/>
    </xf>
    <xf numFmtId="40" fontId="44" fillId="26" borderId="52" xfId="34" applyNumberFormat="1" applyFont="1" applyFill="1" applyBorder="1" applyAlignment="1">
      <alignment horizontal="center" vertical="center" shrinkToFit="1"/>
    </xf>
    <xf numFmtId="40" fontId="44" fillId="26" borderId="61" xfId="34" applyNumberFormat="1" applyFont="1" applyFill="1" applyBorder="1" applyAlignment="1">
      <alignment vertical="center" shrinkToFit="1"/>
    </xf>
    <xf numFmtId="0" fontId="39" fillId="26" borderId="15" xfId="44" applyFont="1" applyFill="1" applyBorder="1" applyAlignment="1">
      <alignment horizontal="center" vertical="center" shrinkToFit="1"/>
    </xf>
    <xf numFmtId="38" fontId="44" fillId="26" borderId="15" xfId="34" applyFont="1" applyFill="1" applyBorder="1" applyAlignment="1">
      <alignment horizontal="center" vertical="center" shrinkToFit="1"/>
    </xf>
    <xf numFmtId="40" fontId="44" fillId="26" borderId="15" xfId="34" applyNumberFormat="1" applyFont="1" applyFill="1" applyBorder="1" applyAlignment="1">
      <alignment vertical="center" shrinkToFit="1"/>
    </xf>
    <xf numFmtId="40" fontId="39" fillId="26" borderId="15" xfId="34" applyNumberFormat="1" applyFont="1" applyFill="1" applyBorder="1" applyAlignment="1">
      <alignment vertical="center" shrinkToFit="1"/>
    </xf>
    <xf numFmtId="40" fontId="44" fillId="26" borderId="36" xfId="34" applyNumberFormat="1" applyFont="1" applyFill="1" applyBorder="1" applyAlignment="1">
      <alignment horizontal="center" vertical="center" shrinkToFit="1"/>
    </xf>
    <xf numFmtId="177" fontId="39" fillId="26" borderId="44" xfId="0" applyNumberFormat="1" applyFont="1" applyFill="1" applyBorder="1" applyAlignment="1" applyProtection="1">
      <alignment vertical="center"/>
    </xf>
    <xf numFmtId="40" fontId="39" fillId="26" borderId="44" xfId="34" applyNumberFormat="1" applyFont="1" applyFill="1" applyBorder="1" applyAlignment="1">
      <alignment vertical="center" shrinkToFit="1"/>
    </xf>
    <xf numFmtId="0" fontId="39" fillId="26" borderId="54" xfId="44" applyFont="1" applyFill="1" applyBorder="1" applyAlignment="1">
      <alignment horizontal="center" vertical="center" shrinkToFit="1"/>
    </xf>
    <xf numFmtId="38" fontId="39" fillId="26" borderId="50" xfId="34" applyFont="1" applyFill="1" applyBorder="1" applyAlignment="1">
      <alignment vertical="center" shrinkToFit="1"/>
    </xf>
    <xf numFmtId="40" fontId="39" fillId="26" borderId="50" xfId="34" applyNumberFormat="1" applyFont="1" applyFill="1" applyBorder="1" applyAlignment="1">
      <alignment vertical="center" shrinkToFit="1"/>
    </xf>
    <xf numFmtId="40" fontId="39" fillId="26" borderId="55" xfId="34" applyNumberFormat="1" applyFont="1" applyFill="1" applyBorder="1" applyAlignment="1">
      <alignment vertical="center" shrinkToFit="1"/>
    </xf>
    <xf numFmtId="38" fontId="39" fillId="26" borderId="56" xfId="34" applyFont="1" applyFill="1" applyBorder="1" applyAlignment="1">
      <alignment vertical="center" shrinkToFit="1"/>
    </xf>
    <xf numFmtId="40" fontId="39" fillId="26" borderId="56" xfId="34" applyNumberFormat="1" applyFont="1" applyFill="1" applyBorder="1" applyAlignment="1">
      <alignment vertical="center" shrinkToFit="1"/>
    </xf>
    <xf numFmtId="38" fontId="39" fillId="26" borderId="0" xfId="34" applyFont="1" applyFill="1" applyAlignment="1">
      <alignment vertical="center"/>
    </xf>
    <xf numFmtId="177" fontId="7" fillId="26" borderId="66" xfId="0" applyNumberFormat="1" applyFont="1" applyFill="1" applyBorder="1" applyAlignment="1" applyProtection="1">
      <alignment vertical="center"/>
    </xf>
    <xf numFmtId="40" fontId="1" fillId="26" borderId="57" xfId="34" applyNumberFormat="1" applyFont="1" applyFill="1" applyBorder="1" applyAlignment="1">
      <alignment vertical="center" shrinkToFit="1"/>
    </xf>
    <xf numFmtId="40" fontId="7" fillId="26" borderId="57" xfId="34" applyNumberFormat="1" applyFont="1" applyFill="1" applyBorder="1" applyAlignment="1">
      <alignment vertical="center" shrinkToFit="1"/>
    </xf>
    <xf numFmtId="177" fontId="7" fillId="26" borderId="73" xfId="0" applyNumberFormat="1" applyFont="1" applyFill="1" applyBorder="1" applyAlignment="1" applyProtection="1">
      <alignment vertical="center"/>
    </xf>
    <xf numFmtId="40" fontId="1" fillId="26" borderId="58" xfId="34" applyNumberFormat="1" applyFont="1" applyFill="1" applyBorder="1" applyAlignment="1">
      <alignment vertical="center" shrinkToFit="1"/>
    </xf>
    <xf numFmtId="40" fontId="7" fillId="26" borderId="58" xfId="34" applyNumberFormat="1" applyFont="1" applyFill="1" applyBorder="1" applyAlignment="1">
      <alignment vertical="center" shrinkToFit="1"/>
    </xf>
    <xf numFmtId="177" fontId="7" fillId="26" borderId="76" xfId="0" applyNumberFormat="1" applyFont="1" applyFill="1" applyBorder="1" applyAlignment="1" applyProtection="1">
      <alignment vertical="center"/>
    </xf>
    <xf numFmtId="40" fontId="7" fillId="26" borderId="59" xfId="34" applyNumberFormat="1" applyFont="1" applyFill="1" applyBorder="1" applyAlignment="1">
      <alignment vertical="center" shrinkToFit="1"/>
    </xf>
    <xf numFmtId="40" fontId="1" fillId="26" borderId="59" xfId="34" applyNumberFormat="1" applyFont="1" applyFill="1" applyBorder="1" applyAlignment="1">
      <alignment vertical="center" shrinkToFit="1"/>
    </xf>
    <xf numFmtId="40" fontId="7" fillId="26" borderId="10" xfId="34" applyNumberFormat="1" applyFont="1" applyFill="1" applyBorder="1" applyAlignment="1">
      <alignment vertical="center" shrinkToFit="1"/>
    </xf>
    <xf numFmtId="40" fontId="7" fillId="26" borderId="40" xfId="34" applyNumberFormat="1" applyFont="1" applyFill="1" applyBorder="1" applyAlignment="1">
      <alignment vertical="center" shrinkToFit="1"/>
    </xf>
    <xf numFmtId="6" fontId="7" fillId="26" borderId="51" xfId="42" applyFont="1" applyFill="1" applyBorder="1" applyAlignment="1">
      <alignment horizontal="left" vertical="center"/>
    </xf>
    <xf numFmtId="38" fontId="7" fillId="26" borderId="0" xfId="34" applyFill="1" applyBorder="1" applyAlignment="1">
      <alignment vertical="center"/>
    </xf>
    <xf numFmtId="40" fontId="24" fillId="26" borderId="65" xfId="34" applyNumberFormat="1" applyFont="1" applyFill="1" applyBorder="1" applyAlignment="1">
      <alignment horizontal="center" vertical="center" shrinkToFit="1"/>
    </xf>
    <xf numFmtId="177" fontId="7" fillId="26" borderId="57" xfId="0" applyNumberFormat="1" applyFont="1" applyFill="1" applyBorder="1" applyAlignment="1" applyProtection="1">
      <alignment vertical="center"/>
    </xf>
    <xf numFmtId="40" fontId="24" fillId="26" borderId="72" xfId="34" applyNumberFormat="1" applyFont="1" applyFill="1" applyBorder="1" applyAlignment="1">
      <alignment horizontal="center" vertical="center" shrinkToFit="1"/>
    </xf>
    <xf numFmtId="177" fontId="7" fillId="26" borderId="82" xfId="0" applyNumberFormat="1" applyFont="1" applyFill="1" applyBorder="1" applyAlignment="1" applyProtection="1">
      <alignment vertical="center"/>
    </xf>
    <xf numFmtId="177" fontId="7" fillId="26" borderId="58" xfId="0" applyNumberFormat="1" applyFont="1" applyFill="1" applyBorder="1" applyAlignment="1" applyProtection="1">
      <alignment vertical="center"/>
    </xf>
    <xf numFmtId="40" fontId="24" fillId="26" borderId="75" xfId="34" applyNumberFormat="1" applyFont="1" applyFill="1" applyBorder="1" applyAlignment="1">
      <alignment horizontal="center" vertical="center" shrinkToFit="1"/>
    </xf>
    <xf numFmtId="177" fontId="7" fillId="26" borderId="83" xfId="0" applyNumberFormat="1" applyFont="1" applyFill="1" applyBorder="1" applyAlignment="1" applyProtection="1">
      <alignment vertical="center"/>
    </xf>
    <xf numFmtId="177" fontId="7" fillId="26" borderId="59" xfId="0" applyNumberFormat="1" applyFont="1" applyFill="1" applyBorder="1" applyAlignment="1" applyProtection="1">
      <alignment vertical="center"/>
    </xf>
    <xf numFmtId="40" fontId="24" fillId="26" borderId="59" xfId="34" applyNumberFormat="1" applyFont="1" applyFill="1" applyBorder="1" applyAlignment="1">
      <alignment vertical="center" shrinkToFit="1"/>
    </xf>
    <xf numFmtId="40" fontId="24" fillId="26" borderId="58" xfId="34" applyNumberFormat="1" applyFont="1" applyFill="1" applyBorder="1" applyAlignment="1">
      <alignment vertical="center" shrinkToFit="1"/>
    </xf>
    <xf numFmtId="40" fontId="24" fillId="26" borderId="84" xfId="34" applyNumberFormat="1" applyFont="1" applyFill="1" applyBorder="1" applyAlignment="1">
      <alignment horizontal="center" vertical="center" shrinkToFit="1"/>
    </xf>
    <xf numFmtId="177" fontId="7" fillId="26" borderId="85" xfId="0" applyNumberFormat="1" applyFont="1" applyFill="1" applyBorder="1" applyAlignment="1" applyProtection="1">
      <alignment vertical="center"/>
    </xf>
    <xf numFmtId="177" fontId="7" fillId="26" borderId="60" xfId="0" applyNumberFormat="1" applyFont="1" applyFill="1" applyBorder="1" applyAlignment="1" applyProtection="1">
      <alignment vertical="center"/>
    </xf>
    <xf numFmtId="40" fontId="24" fillId="26" borderId="60" xfId="34" applyNumberFormat="1" applyFont="1" applyFill="1" applyBorder="1" applyAlignment="1">
      <alignment vertical="center" shrinkToFit="1"/>
    </xf>
    <xf numFmtId="40" fontId="7" fillId="26" borderId="60" xfId="34" applyNumberFormat="1" applyFont="1" applyFill="1" applyBorder="1" applyAlignment="1">
      <alignment vertical="center" shrinkToFit="1"/>
    </xf>
    <xf numFmtId="40" fontId="7" fillId="26" borderId="32" xfId="34" applyNumberFormat="1" applyFont="1" applyFill="1" applyBorder="1" applyAlignment="1">
      <alignment vertical="center" shrinkToFit="1"/>
    </xf>
    <xf numFmtId="0" fontId="7" fillId="26" borderId="51" xfId="44" applyFont="1" applyFill="1" applyBorder="1" applyAlignment="1">
      <alignment horizontal="left" vertical="center"/>
    </xf>
    <xf numFmtId="177" fontId="7" fillId="26" borderId="86" xfId="0" applyNumberFormat="1" applyFont="1" applyFill="1" applyBorder="1" applyAlignment="1" applyProtection="1">
      <alignment vertical="center"/>
    </xf>
    <xf numFmtId="38" fontId="39" fillId="26" borderId="0" xfId="44" applyNumberFormat="1" applyFont="1" applyFill="1" applyAlignment="1">
      <alignment horizontal="left" vertical="center"/>
    </xf>
    <xf numFmtId="0" fontId="45" fillId="26" borderId="0" xfId="44" applyFont="1" applyFill="1" applyAlignment="1">
      <alignment horizontal="right" vertical="center"/>
    </xf>
    <xf numFmtId="38" fontId="28" fillId="0" borderId="0" xfId="44" applyNumberFormat="1" applyFont="1" applyAlignment="1">
      <alignment vertical="center"/>
    </xf>
    <xf numFmtId="0" fontId="7" fillId="0" borderId="0" xfId="44" applyFont="1" applyFill="1" applyAlignment="1">
      <alignment horizontal="right" vertical="center"/>
    </xf>
    <xf numFmtId="0" fontId="7" fillId="0" borderId="0" xfId="44" applyFill="1" applyAlignment="1">
      <alignment horizontal="left" vertical="center"/>
    </xf>
    <xf numFmtId="0" fontId="7" fillId="0" borderId="0" xfId="44" applyFill="1" applyAlignment="1">
      <alignment horizontal="center" vertical="center"/>
    </xf>
    <xf numFmtId="0" fontId="23" fillId="0" borderId="62" xfId="44" applyFont="1" applyFill="1" applyBorder="1" applyAlignment="1">
      <alignment horizontal="center" vertical="center" shrinkToFit="1"/>
    </xf>
    <xf numFmtId="0" fontId="23" fillId="0" borderId="63" xfId="44" applyFont="1" applyFill="1" applyBorder="1" applyAlignment="1">
      <alignment horizontal="center" vertical="center" shrinkToFit="1"/>
    </xf>
    <xf numFmtId="0" fontId="24" fillId="0" borderId="13" xfId="44" applyFont="1" applyFill="1" applyBorder="1" applyAlignment="1">
      <alignment horizontal="center" vertical="center" shrinkToFit="1"/>
    </xf>
    <xf numFmtId="0" fontId="24" fillId="0" borderId="13" xfId="44" applyFont="1" applyFill="1" applyBorder="1" applyAlignment="1">
      <alignment horizontal="center" vertical="center" wrapText="1" shrinkToFit="1"/>
    </xf>
    <xf numFmtId="0" fontId="24" fillId="0" borderId="53" xfId="44" applyFont="1" applyFill="1" applyBorder="1" applyAlignment="1">
      <alignment horizontal="center" vertical="center" shrinkToFit="1"/>
    </xf>
    <xf numFmtId="0" fontId="23" fillId="0" borderId="15" xfId="44" applyFont="1" applyFill="1" applyBorder="1" applyAlignment="1">
      <alignment horizontal="center" vertical="center" shrinkToFit="1"/>
    </xf>
    <xf numFmtId="0" fontId="23" fillId="0" borderId="36" xfId="44" applyFont="1" applyFill="1" applyBorder="1" applyAlignment="1">
      <alignment horizontal="center" vertical="center" shrinkToFit="1"/>
    </xf>
    <xf numFmtId="0" fontId="23" fillId="0" borderId="44" xfId="44" applyFont="1" applyFill="1" applyBorder="1" applyAlignment="1">
      <alignment horizontal="center" vertical="center" shrinkToFit="1"/>
    </xf>
    <xf numFmtId="40" fontId="23" fillId="0" borderId="65" xfId="34" applyNumberFormat="1" applyFont="1" applyFill="1" applyBorder="1" applyAlignment="1">
      <alignment horizontal="center" vertical="center" shrinkToFit="1"/>
    </xf>
    <xf numFmtId="177" fontId="7" fillId="0" borderId="66" xfId="0" applyNumberFormat="1" applyFont="1" applyFill="1" applyBorder="1" applyAlignment="1" applyProtection="1">
      <alignment vertical="center"/>
    </xf>
    <xf numFmtId="177" fontId="7" fillId="0" borderId="67" xfId="0" applyNumberFormat="1" applyFont="1" applyFill="1" applyBorder="1" applyAlignment="1" applyProtection="1">
      <alignment vertical="center"/>
    </xf>
    <xf numFmtId="40" fontId="1" fillId="0" borderId="57" xfId="34" applyNumberFormat="1" applyFont="1" applyFill="1" applyBorder="1" applyAlignment="1">
      <alignment vertical="center" shrinkToFit="1"/>
    </xf>
    <xf numFmtId="40" fontId="7" fillId="0" borderId="57" xfId="34" applyNumberFormat="1" applyFont="1" applyFill="1" applyBorder="1" applyAlignment="1">
      <alignment vertical="center" shrinkToFit="1"/>
    </xf>
    <xf numFmtId="40" fontId="23" fillId="0" borderId="68" xfId="34" applyNumberFormat="1" applyFont="1" applyFill="1" applyBorder="1" applyAlignment="1">
      <alignment horizontal="center" vertical="center" shrinkToFit="1"/>
    </xf>
    <xf numFmtId="177" fontId="7" fillId="0" borderId="69" xfId="0" applyNumberFormat="1" applyFont="1" applyFill="1" applyBorder="1" applyAlignment="1" applyProtection="1">
      <alignment vertical="center"/>
    </xf>
    <xf numFmtId="177" fontId="7" fillId="0" borderId="70" xfId="0" applyNumberFormat="1" applyFont="1" applyFill="1" applyBorder="1" applyAlignment="1" applyProtection="1">
      <alignment vertical="center"/>
    </xf>
    <xf numFmtId="40" fontId="1" fillId="0" borderId="71" xfId="34" applyNumberFormat="1" applyFont="1" applyFill="1" applyBorder="1" applyAlignment="1">
      <alignment vertical="center" shrinkToFit="1"/>
    </xf>
    <xf numFmtId="40" fontId="7" fillId="0" borderId="71" xfId="34" applyNumberFormat="1" applyFont="1" applyFill="1" applyBorder="1" applyAlignment="1">
      <alignment vertical="center" shrinkToFit="1"/>
    </xf>
    <xf numFmtId="40" fontId="23" fillId="0" borderId="72" xfId="34" applyNumberFormat="1" applyFont="1" applyFill="1" applyBorder="1" applyAlignment="1">
      <alignment horizontal="center" vertical="center" shrinkToFit="1"/>
    </xf>
    <xf numFmtId="177" fontId="7" fillId="0" borderId="73" xfId="0" applyNumberFormat="1" applyFont="1" applyFill="1" applyBorder="1" applyAlignment="1" applyProtection="1">
      <alignment vertical="center"/>
    </xf>
    <xf numFmtId="177" fontId="7" fillId="0" borderId="74" xfId="0" applyNumberFormat="1" applyFont="1" applyFill="1" applyBorder="1" applyAlignment="1" applyProtection="1">
      <alignment vertical="center"/>
    </xf>
    <xf numFmtId="40" fontId="1" fillId="0" borderId="58" xfId="34" applyNumberFormat="1" applyFont="1" applyFill="1" applyBorder="1" applyAlignment="1">
      <alignment vertical="center" shrinkToFit="1"/>
    </xf>
    <xf numFmtId="40" fontId="7" fillId="0" borderId="58" xfId="34" applyNumberFormat="1" applyFont="1" applyFill="1" applyBorder="1" applyAlignment="1">
      <alignment vertical="center" shrinkToFit="1"/>
    </xf>
    <xf numFmtId="40" fontId="23" fillId="0" borderId="75" xfId="34" applyNumberFormat="1" applyFont="1" applyFill="1" applyBorder="1" applyAlignment="1">
      <alignment horizontal="center" vertical="center" shrinkToFit="1"/>
    </xf>
    <xf numFmtId="177" fontId="7" fillId="0" borderId="76" xfId="0" applyNumberFormat="1" applyFont="1" applyFill="1" applyBorder="1" applyAlignment="1" applyProtection="1">
      <alignment vertical="center"/>
    </xf>
    <xf numFmtId="40" fontId="24" fillId="0" borderId="77" xfId="34" applyNumberFormat="1" applyFont="1" applyFill="1" applyBorder="1" applyAlignment="1">
      <alignment horizontal="right" vertical="center" shrinkToFit="1"/>
    </xf>
    <xf numFmtId="40" fontId="7" fillId="0" borderId="59" xfId="34" applyNumberFormat="1" applyFont="1" applyFill="1" applyBorder="1" applyAlignment="1">
      <alignment vertical="center" shrinkToFit="1"/>
    </xf>
    <xf numFmtId="40" fontId="24" fillId="0" borderId="78" xfId="34" applyNumberFormat="1" applyFont="1" applyFill="1" applyBorder="1" applyAlignment="1">
      <alignment horizontal="right" vertical="center" shrinkToFit="1"/>
    </xf>
    <xf numFmtId="40" fontId="24" fillId="0" borderId="79" xfId="34" applyNumberFormat="1" applyFont="1" applyFill="1" applyBorder="1" applyAlignment="1">
      <alignment horizontal="right" vertical="center" shrinkToFit="1"/>
    </xf>
    <xf numFmtId="40" fontId="1" fillId="0" borderId="59" xfId="34" applyNumberFormat="1" applyFont="1" applyFill="1" applyBorder="1" applyAlignment="1">
      <alignment vertical="center" shrinkToFit="1"/>
    </xf>
    <xf numFmtId="177" fontId="7" fillId="0" borderId="80" xfId="0" applyNumberFormat="1" applyFont="1" applyFill="1" applyBorder="1" applyAlignment="1" applyProtection="1">
      <alignment vertical="center"/>
    </xf>
    <xf numFmtId="40" fontId="7" fillId="0" borderId="81" xfId="34" applyNumberFormat="1" applyFont="1" applyFill="1" applyBorder="1" applyAlignment="1">
      <alignment vertical="center" shrinkToFit="1"/>
    </xf>
    <xf numFmtId="0" fontId="7" fillId="0" borderId="38" xfId="44" applyFont="1" applyFill="1" applyBorder="1" applyAlignment="1">
      <alignment horizontal="center" vertical="center" shrinkToFit="1"/>
    </xf>
    <xf numFmtId="38" fontId="7" fillId="0" borderId="10" xfId="34" applyFont="1" applyFill="1" applyBorder="1" applyAlignment="1">
      <alignment horizontal="center" vertical="center" shrinkToFit="1"/>
    </xf>
    <xf numFmtId="38" fontId="7" fillId="0" borderId="10" xfId="34" applyFont="1" applyFill="1" applyBorder="1" applyAlignment="1">
      <alignment vertical="center" shrinkToFit="1"/>
    </xf>
    <xf numFmtId="40" fontId="7" fillId="0" borderId="10" xfId="34" applyNumberFormat="1" applyFont="1" applyFill="1" applyBorder="1" applyAlignment="1">
      <alignment vertical="center" shrinkToFit="1"/>
    </xf>
    <xf numFmtId="40" fontId="23" fillId="0" borderId="55" xfId="34" applyNumberFormat="1" applyFont="1" applyFill="1" applyBorder="1" applyAlignment="1">
      <alignment vertical="center" shrinkToFit="1"/>
    </xf>
    <xf numFmtId="38" fontId="7" fillId="0" borderId="40" xfId="34" applyFont="1" applyFill="1" applyBorder="1" applyAlignment="1">
      <alignment vertical="center" shrinkToFit="1"/>
    </xf>
    <xf numFmtId="40" fontId="7" fillId="0" borderId="40" xfId="34" applyNumberFormat="1" applyFont="1" applyFill="1" applyBorder="1" applyAlignment="1">
      <alignment vertical="center" shrinkToFit="1"/>
    </xf>
    <xf numFmtId="38" fontId="7" fillId="0" borderId="0" xfId="34" applyFill="1" applyAlignment="1">
      <alignment vertical="center"/>
    </xf>
    <xf numFmtId="38" fontId="3" fillId="0" borderId="0" xfId="34" applyFont="1" applyFill="1" applyAlignment="1">
      <alignment vertical="center"/>
    </xf>
    <xf numFmtId="38" fontId="3" fillId="0" borderId="0" xfId="34" applyFont="1" applyFill="1" applyBorder="1" applyAlignment="1">
      <alignment vertical="center"/>
    </xf>
    <xf numFmtId="40" fontId="43" fillId="26" borderId="65" xfId="34" applyNumberFormat="1" applyFont="1" applyFill="1" applyBorder="1" applyAlignment="1">
      <alignment horizontal="center" vertical="center" shrinkToFit="1"/>
    </xf>
    <xf numFmtId="177" fontId="39" fillId="26" borderId="66" xfId="0" applyNumberFormat="1" applyFont="1" applyFill="1" applyBorder="1" applyAlignment="1" applyProtection="1">
      <alignment vertical="center"/>
    </xf>
    <xf numFmtId="40" fontId="40" fillId="26" borderId="11" xfId="34" applyNumberFormat="1" applyFont="1" applyFill="1" applyBorder="1" applyAlignment="1">
      <alignment vertical="center" shrinkToFit="1"/>
    </xf>
    <xf numFmtId="40" fontId="39" fillId="26" borderId="57" xfId="34" applyNumberFormat="1" applyFont="1" applyFill="1" applyBorder="1" applyAlignment="1">
      <alignment vertical="center" shrinkToFit="1"/>
    </xf>
    <xf numFmtId="40" fontId="43" fillId="26" borderId="68" xfId="34" applyNumberFormat="1" applyFont="1" applyFill="1" applyBorder="1" applyAlignment="1">
      <alignment horizontal="center" vertical="center" shrinkToFit="1"/>
    </xf>
    <xf numFmtId="177" fontId="39" fillId="26" borderId="69" xfId="0" applyNumberFormat="1" applyFont="1" applyFill="1" applyBorder="1" applyAlignment="1" applyProtection="1">
      <alignment vertical="center"/>
    </xf>
    <xf numFmtId="40" fontId="40" fillId="26" borderId="26" xfId="34" applyNumberFormat="1" applyFont="1" applyFill="1" applyBorder="1" applyAlignment="1">
      <alignment vertical="center" shrinkToFit="1"/>
    </xf>
    <xf numFmtId="40" fontId="39" fillId="26" borderId="71" xfId="34" applyNumberFormat="1" applyFont="1" applyFill="1" applyBorder="1" applyAlignment="1">
      <alignment vertical="center" shrinkToFit="1"/>
    </xf>
    <xf numFmtId="40" fontId="43" fillId="26" borderId="72" xfId="34" applyNumberFormat="1" applyFont="1" applyFill="1" applyBorder="1" applyAlignment="1">
      <alignment horizontal="center" vertical="center" shrinkToFit="1"/>
    </xf>
    <xf numFmtId="177" fontId="39" fillId="26" borderId="73" xfId="0" applyNumberFormat="1" applyFont="1" applyFill="1" applyBorder="1" applyAlignment="1" applyProtection="1">
      <alignment vertical="center"/>
    </xf>
    <xf numFmtId="40" fontId="40" fillId="26" borderId="18" xfId="34" applyNumberFormat="1" applyFont="1" applyFill="1" applyBorder="1" applyAlignment="1">
      <alignment vertical="center" shrinkToFit="1"/>
    </xf>
    <xf numFmtId="40" fontId="39" fillId="26" borderId="58" xfId="34" applyNumberFormat="1" applyFont="1" applyFill="1" applyBorder="1" applyAlignment="1">
      <alignment vertical="center" shrinkToFit="1"/>
    </xf>
    <xf numFmtId="40" fontId="43" fillId="26" borderId="75" xfId="34" applyNumberFormat="1" applyFont="1" applyFill="1" applyBorder="1" applyAlignment="1">
      <alignment horizontal="center" vertical="center" shrinkToFit="1"/>
    </xf>
    <xf numFmtId="177" fontId="39" fillId="26" borderId="76" xfId="0" applyNumberFormat="1" applyFont="1" applyFill="1" applyBorder="1" applyAlignment="1" applyProtection="1">
      <alignment vertical="center"/>
    </xf>
    <xf numFmtId="177" fontId="39" fillId="26" borderId="67" xfId="0" applyNumberFormat="1" applyFont="1" applyFill="1" applyBorder="1" applyAlignment="1" applyProtection="1">
      <alignment vertical="center"/>
    </xf>
    <xf numFmtId="40" fontId="44" fillId="26" borderId="77" xfId="34" applyNumberFormat="1" applyFont="1" applyFill="1" applyBorder="1" applyAlignment="1">
      <alignment horizontal="right" vertical="center" shrinkToFit="1"/>
    </xf>
    <xf numFmtId="40" fontId="39" fillId="26" borderId="59" xfId="34" applyNumberFormat="1" applyFont="1" applyFill="1" applyBorder="1" applyAlignment="1">
      <alignment vertical="center" shrinkToFit="1"/>
    </xf>
    <xf numFmtId="177" fontId="39" fillId="26" borderId="70" xfId="0" applyNumberFormat="1" applyFont="1" applyFill="1" applyBorder="1" applyAlignment="1" applyProtection="1">
      <alignment vertical="center"/>
    </xf>
    <xf numFmtId="40" fontId="44" fillId="26" borderId="78" xfId="34" applyNumberFormat="1" applyFont="1" applyFill="1" applyBorder="1" applyAlignment="1">
      <alignment horizontal="right" vertical="center" shrinkToFit="1"/>
    </xf>
    <xf numFmtId="177" fontId="39" fillId="26" borderId="74" xfId="0" applyNumberFormat="1" applyFont="1" applyFill="1" applyBorder="1" applyAlignment="1" applyProtection="1">
      <alignment vertical="center"/>
    </xf>
    <xf numFmtId="40" fontId="44" fillId="26" borderId="79" xfId="34" applyNumberFormat="1" applyFont="1" applyFill="1" applyBorder="1" applyAlignment="1">
      <alignment horizontal="right" vertical="center" shrinkToFit="1"/>
    </xf>
    <xf numFmtId="40" fontId="40" fillId="26" borderId="20" xfId="34" applyNumberFormat="1" applyFont="1" applyFill="1" applyBorder="1" applyAlignment="1">
      <alignment vertical="center" shrinkToFit="1"/>
    </xf>
    <xf numFmtId="177" fontId="39" fillId="26" borderId="80" xfId="0" applyNumberFormat="1" applyFont="1" applyFill="1" applyBorder="1" applyAlignment="1" applyProtection="1">
      <alignment vertical="center"/>
    </xf>
    <xf numFmtId="177" fontId="39" fillId="26" borderId="87" xfId="0" applyNumberFormat="1" applyFont="1" applyFill="1" applyBorder="1" applyAlignment="1" applyProtection="1">
      <alignment vertical="center"/>
    </xf>
    <xf numFmtId="40" fontId="39" fillId="26" borderId="81" xfId="34" applyNumberFormat="1" applyFont="1" applyFill="1" applyBorder="1" applyAlignment="1">
      <alignment vertical="center" shrinkToFit="1"/>
    </xf>
    <xf numFmtId="0" fontId="39" fillId="26" borderId="38" xfId="44" applyFont="1" applyFill="1" applyBorder="1" applyAlignment="1">
      <alignment horizontal="center" vertical="center" shrinkToFit="1"/>
    </xf>
    <xf numFmtId="38" fontId="39" fillId="26" borderId="10" xfId="34" applyFont="1" applyFill="1" applyBorder="1" applyAlignment="1">
      <alignment horizontal="center" vertical="center" shrinkToFit="1"/>
    </xf>
    <xf numFmtId="38" fontId="39" fillId="26" borderId="10" xfId="34" applyFont="1" applyFill="1" applyBorder="1" applyAlignment="1">
      <alignment vertical="center" shrinkToFit="1"/>
    </xf>
    <xf numFmtId="40" fontId="39" fillId="26" borderId="10" xfId="34" applyNumberFormat="1" applyFont="1" applyFill="1" applyBorder="1" applyAlignment="1">
      <alignment vertical="center" shrinkToFit="1"/>
    </xf>
    <xf numFmtId="40" fontId="43" fillId="26" borderId="55" xfId="34" applyNumberFormat="1" applyFont="1" applyFill="1" applyBorder="1" applyAlignment="1">
      <alignment vertical="center" shrinkToFit="1"/>
    </xf>
    <xf numFmtId="38" fontId="39" fillId="26" borderId="40" xfId="34" applyFont="1" applyFill="1" applyBorder="1" applyAlignment="1">
      <alignment vertical="center" shrinkToFit="1"/>
    </xf>
    <xf numFmtId="40" fontId="39" fillId="26" borderId="40" xfId="34" applyNumberFormat="1" applyFont="1" applyFill="1" applyBorder="1" applyAlignment="1">
      <alignment vertical="center" shrinkToFit="1"/>
    </xf>
    <xf numFmtId="38" fontId="39" fillId="26" borderId="0" xfId="34" applyFont="1" applyFill="1" applyBorder="1" applyAlignment="1">
      <alignment vertical="center"/>
    </xf>
    <xf numFmtId="38" fontId="40" fillId="0" borderId="89" xfId="34" applyFont="1" applyFill="1" applyBorder="1" applyAlignment="1">
      <alignment horizontal="center" vertical="center" shrinkToFit="1"/>
    </xf>
    <xf numFmtId="38" fontId="40" fillId="0" borderId="89" xfId="34" applyNumberFormat="1" applyFont="1" applyFill="1" applyBorder="1" applyAlignment="1">
      <alignment horizontal="center" vertical="center" shrinkToFit="1"/>
    </xf>
    <xf numFmtId="38" fontId="1" fillId="26" borderId="89" xfId="34" applyFont="1" applyFill="1" applyBorder="1" applyAlignment="1">
      <alignment horizontal="center" vertical="center" shrinkToFit="1"/>
    </xf>
    <xf numFmtId="0" fontId="23" fillId="26" borderId="90" xfId="44" applyFont="1" applyFill="1" applyBorder="1" applyAlignment="1">
      <alignment horizontal="center" vertical="center" shrinkToFit="1"/>
    </xf>
    <xf numFmtId="0" fontId="23" fillId="26" borderId="91" xfId="44" applyFont="1" applyFill="1" applyBorder="1" applyAlignment="1">
      <alignment horizontal="center" vertical="center" shrinkToFit="1"/>
    </xf>
    <xf numFmtId="38" fontId="1" fillId="26" borderId="89" xfId="34" applyNumberFormat="1" applyFont="1" applyFill="1" applyBorder="1" applyAlignment="1">
      <alignment horizontal="center" vertical="center" shrinkToFit="1"/>
    </xf>
    <xf numFmtId="40" fontId="7" fillId="26" borderId="89" xfId="34" applyNumberFormat="1" applyFont="1" applyFill="1" applyBorder="1" applyAlignment="1">
      <alignment vertical="center" shrinkToFit="1"/>
    </xf>
    <xf numFmtId="40" fontId="7" fillId="26" borderId="23" xfId="34" applyNumberFormat="1" applyFont="1" applyFill="1" applyBorder="1" applyAlignment="1">
      <alignment vertical="center" shrinkToFit="1"/>
    </xf>
    <xf numFmtId="38" fontId="24" fillId="26" borderId="22" xfId="34" applyFont="1" applyFill="1" applyBorder="1" applyAlignment="1">
      <alignment horizontal="center" vertical="center" shrinkToFit="1"/>
    </xf>
    <xf numFmtId="38" fontId="24" fillId="26" borderId="23" xfId="34" applyFont="1" applyFill="1" applyBorder="1" applyAlignment="1">
      <alignment horizontal="center" vertical="center" shrinkToFit="1"/>
    </xf>
    <xf numFmtId="40" fontId="7" fillId="26" borderId="22" xfId="34" applyNumberFormat="1" applyFont="1" applyFill="1" applyBorder="1" applyAlignment="1">
      <alignment vertical="center" shrinkToFit="1"/>
    </xf>
    <xf numFmtId="38" fontId="24" fillId="26" borderId="50" xfId="34" applyFont="1" applyFill="1" applyBorder="1" applyAlignment="1">
      <alignment horizontal="center" vertical="center" shrinkToFit="1"/>
    </xf>
    <xf numFmtId="40" fontId="1" fillId="26" borderId="89" xfId="34" applyNumberFormat="1" applyFont="1" applyFill="1" applyBorder="1" applyAlignment="1">
      <alignment vertical="center" shrinkToFit="1"/>
    </xf>
    <xf numFmtId="40" fontId="23" fillId="26" borderId="53" xfId="34" applyNumberFormat="1" applyFont="1" applyFill="1" applyBorder="1" applyAlignment="1">
      <alignment horizontal="center" vertical="center" shrinkToFit="1"/>
    </xf>
    <xf numFmtId="177" fontId="46" fillId="26" borderId="92" xfId="0" applyNumberFormat="1" applyFont="1" applyFill="1" applyBorder="1" applyAlignment="1" applyProtection="1">
      <alignment vertical="center"/>
    </xf>
    <xf numFmtId="177" fontId="46" fillId="26" borderId="89" xfId="0" applyNumberFormat="1" applyFont="1" applyFill="1" applyBorder="1" applyAlignment="1" applyProtection="1">
      <alignment vertical="center"/>
    </xf>
    <xf numFmtId="40" fontId="40" fillId="0" borderId="89" xfId="34" applyNumberFormat="1" applyFont="1" applyFill="1" applyBorder="1" applyAlignment="1">
      <alignment vertical="center" shrinkToFit="1"/>
    </xf>
    <xf numFmtId="0" fontId="23" fillId="26" borderId="14" xfId="44" applyFont="1" applyFill="1" applyBorder="1" applyAlignment="1">
      <alignment horizontal="center" vertical="center" shrinkToFit="1"/>
    </xf>
    <xf numFmtId="177" fontId="46" fillId="26" borderId="13" xfId="0" applyNumberFormat="1" applyFont="1" applyFill="1" applyBorder="1" applyAlignment="1" applyProtection="1">
      <alignment vertical="center"/>
    </xf>
    <xf numFmtId="0" fontId="23" fillId="26" borderId="93" xfId="44" applyFont="1" applyFill="1" applyBorder="1" applyAlignment="1">
      <alignment horizontal="center" vertical="center" shrinkToFit="1"/>
    </xf>
    <xf numFmtId="40" fontId="24" fillId="26" borderId="22" xfId="34" applyNumberFormat="1" applyFont="1" applyFill="1" applyBorder="1" applyAlignment="1">
      <alignment vertical="center" shrinkToFit="1"/>
    </xf>
    <xf numFmtId="177" fontId="46" fillId="26" borderId="23" xfId="0" applyNumberFormat="1" applyFont="1" applyFill="1" applyBorder="1" applyAlignment="1" applyProtection="1">
      <alignment vertical="center"/>
    </xf>
    <xf numFmtId="40" fontId="23" fillId="26" borderId="13" xfId="34" applyNumberFormat="1" applyFont="1" applyFill="1" applyBorder="1" applyAlignment="1">
      <alignment vertical="center" shrinkToFit="1"/>
    </xf>
    <xf numFmtId="40" fontId="24" fillId="26" borderId="23" xfId="34" applyNumberFormat="1" applyFont="1" applyFill="1" applyBorder="1" applyAlignment="1">
      <alignment vertical="center" shrinkToFit="1"/>
    </xf>
    <xf numFmtId="40" fontId="7" fillId="26" borderId="63" xfId="34" applyNumberFormat="1" applyFont="1" applyFill="1" applyBorder="1" applyAlignment="1">
      <alignment vertical="center" shrinkToFit="1"/>
    </xf>
    <xf numFmtId="40" fontId="7" fillId="26" borderId="61" xfId="34" applyNumberFormat="1" applyFont="1" applyFill="1" applyBorder="1" applyAlignment="1">
      <alignment vertical="center" shrinkToFit="1"/>
    </xf>
    <xf numFmtId="177" fontId="46" fillId="26" borderId="53" xfId="0" applyNumberFormat="1" applyFont="1" applyFill="1" applyBorder="1" applyAlignment="1" applyProtection="1">
      <alignment vertical="center"/>
    </xf>
    <xf numFmtId="40" fontId="23" fillId="26" borderId="61" xfId="34" applyNumberFormat="1" applyFont="1" applyFill="1" applyBorder="1" applyAlignment="1">
      <alignment vertical="center" shrinkToFit="1"/>
    </xf>
    <xf numFmtId="0" fontId="23" fillId="26" borderId="22" xfId="44" applyFont="1" applyFill="1" applyBorder="1" applyAlignment="1">
      <alignment horizontal="center" vertical="center" shrinkToFit="1"/>
    </xf>
    <xf numFmtId="40" fontId="24" fillId="26" borderId="94" xfId="34" applyNumberFormat="1" applyFont="1" applyFill="1" applyBorder="1" applyAlignment="1">
      <alignment vertical="center" shrinkToFit="1"/>
    </xf>
    <xf numFmtId="40" fontId="23" fillId="26" borderId="61" xfId="34" applyNumberFormat="1" applyFont="1" applyFill="1" applyBorder="1" applyAlignment="1">
      <alignment horizontal="center" vertical="center" shrinkToFit="1"/>
    </xf>
    <xf numFmtId="177" fontId="46" fillId="26" borderId="61" xfId="0" applyNumberFormat="1" applyFont="1" applyFill="1" applyBorder="1" applyAlignment="1" applyProtection="1">
      <alignment vertical="center"/>
    </xf>
    <xf numFmtId="0" fontId="23" fillId="26" borderId="54" xfId="44" applyFont="1" applyFill="1" applyBorder="1" applyAlignment="1">
      <alignment horizontal="center" vertical="center" shrinkToFit="1"/>
    </xf>
    <xf numFmtId="40" fontId="24" fillId="26" borderId="56" xfId="34" applyNumberFormat="1" applyFont="1" applyFill="1" applyBorder="1" applyAlignment="1">
      <alignment vertical="center" shrinkToFit="1"/>
    </xf>
    <xf numFmtId="40" fontId="23" fillId="26" borderId="50" xfId="34" applyNumberFormat="1" applyFont="1" applyFill="1" applyBorder="1" applyAlignment="1">
      <alignment horizontal="center" vertical="center" shrinkToFit="1"/>
    </xf>
    <xf numFmtId="177" fontId="46" fillId="26" borderId="12" xfId="0" applyNumberFormat="1" applyFont="1" applyFill="1" applyBorder="1" applyAlignment="1" applyProtection="1">
      <alignment vertical="center"/>
    </xf>
    <xf numFmtId="177" fontId="46" fillId="26" borderId="50" xfId="0" applyNumberFormat="1" applyFont="1" applyFill="1" applyBorder="1" applyAlignment="1" applyProtection="1">
      <alignment vertical="center"/>
    </xf>
    <xf numFmtId="40" fontId="23" fillId="26" borderId="50" xfId="34" applyNumberFormat="1" applyFont="1" applyFill="1" applyBorder="1" applyAlignment="1">
      <alignment vertical="center" shrinkToFit="1"/>
    </xf>
    <xf numFmtId="0" fontId="25" fillId="26" borderId="54" xfId="44" applyFont="1" applyFill="1" applyBorder="1" applyAlignment="1">
      <alignment horizontal="center" vertical="center" shrinkToFit="1"/>
    </xf>
    <xf numFmtId="38" fontId="25" fillId="26" borderId="54" xfId="34" applyFont="1" applyFill="1" applyBorder="1" applyAlignment="1">
      <alignment horizontal="center" vertical="center" shrinkToFit="1"/>
    </xf>
    <xf numFmtId="179" fontId="25" fillId="26" borderId="95" xfId="28" applyNumberFormat="1" applyFont="1" applyFill="1" applyBorder="1" applyAlignment="1">
      <alignment vertical="center" shrinkToFit="1"/>
    </xf>
    <xf numFmtId="38" fontId="25" fillId="26" borderId="50" xfId="34" applyFont="1" applyFill="1" applyBorder="1" applyAlignment="1">
      <alignment vertical="center" shrinkToFit="1"/>
    </xf>
    <xf numFmtId="40" fontId="1" fillId="26" borderId="50" xfId="34" applyNumberFormat="1" applyFont="1" applyFill="1" applyBorder="1" applyAlignment="1">
      <alignment vertical="center" shrinkToFit="1"/>
    </xf>
    <xf numFmtId="40" fontId="25" fillId="26" borderId="50" xfId="34" applyNumberFormat="1" applyFont="1" applyFill="1" applyBorder="1" applyAlignment="1">
      <alignment vertical="center" shrinkToFit="1"/>
    </xf>
    <xf numFmtId="38" fontId="28" fillId="26" borderId="50" xfId="34" applyFont="1" applyFill="1" applyBorder="1" applyAlignment="1">
      <alignment vertical="center" shrinkToFit="1"/>
    </xf>
    <xf numFmtId="40" fontId="1" fillId="26" borderId="56" xfId="34" applyNumberFormat="1" applyFont="1" applyFill="1" applyBorder="1" applyAlignment="1">
      <alignment vertical="center" shrinkToFit="1"/>
    </xf>
    <xf numFmtId="0" fontId="39" fillId="0" borderId="0" xfId="44" applyFont="1" applyFill="1" applyAlignment="1">
      <alignment horizontal="right" vertical="center"/>
    </xf>
    <xf numFmtId="0" fontId="39" fillId="0" borderId="0" xfId="44" applyFont="1" applyFill="1" applyAlignment="1">
      <alignment horizontal="left" vertical="center"/>
    </xf>
    <xf numFmtId="0" fontId="39" fillId="0" borderId="0" xfId="44" applyFont="1" applyFill="1">
      <alignment vertical="center"/>
    </xf>
    <xf numFmtId="0" fontId="39" fillId="0" borderId="0" xfId="44" applyFont="1" applyFill="1" applyAlignment="1">
      <alignment horizontal="center" vertical="center"/>
    </xf>
    <xf numFmtId="0" fontId="43" fillId="0" borderId="90" xfId="44" applyFont="1" applyFill="1" applyBorder="1" applyAlignment="1">
      <alignment horizontal="center" vertical="center" shrinkToFit="1"/>
    </xf>
    <xf numFmtId="0" fontId="43" fillId="0" borderId="62" xfId="44" applyFont="1" applyFill="1" applyBorder="1" applyAlignment="1">
      <alignment horizontal="center" vertical="center" shrinkToFit="1"/>
    </xf>
    <xf numFmtId="0" fontId="43" fillId="0" borderId="91" xfId="44" applyFont="1" applyFill="1" applyBorder="1" applyAlignment="1">
      <alignment horizontal="center" vertical="center" shrinkToFit="1"/>
    </xf>
    <xf numFmtId="0" fontId="43" fillId="0" borderId="63" xfId="44" applyFont="1" applyFill="1" applyBorder="1" applyAlignment="1">
      <alignment horizontal="center" vertical="center" shrinkToFit="1"/>
    </xf>
    <xf numFmtId="0" fontId="44" fillId="0" borderId="13" xfId="44" applyFont="1" applyFill="1" applyBorder="1" applyAlignment="1">
      <alignment horizontal="center" vertical="center" shrinkToFit="1"/>
    </xf>
    <xf numFmtId="0" fontId="44" fillId="0" borderId="13" xfId="44" applyFont="1" applyFill="1" applyBorder="1" applyAlignment="1">
      <alignment horizontal="center" vertical="center" wrapText="1" shrinkToFit="1"/>
    </xf>
    <xf numFmtId="0" fontId="44" fillId="0" borderId="53" xfId="44" applyFont="1" applyFill="1" applyBorder="1" applyAlignment="1">
      <alignment horizontal="center" vertical="center" shrinkToFit="1"/>
    </xf>
    <xf numFmtId="0" fontId="43" fillId="0" borderId="15" xfId="44" applyFont="1" applyFill="1" applyBorder="1" applyAlignment="1">
      <alignment horizontal="center" vertical="center" shrinkToFit="1"/>
    </xf>
    <xf numFmtId="0" fontId="43" fillId="0" borderId="44" xfId="44" applyFont="1" applyFill="1" applyBorder="1" applyAlignment="1">
      <alignment horizontal="center" vertical="center" shrinkToFit="1"/>
    </xf>
    <xf numFmtId="40" fontId="39" fillId="0" borderId="89" xfId="34" applyNumberFormat="1" applyFont="1" applyFill="1" applyBorder="1" applyAlignment="1">
      <alignment vertical="center" shrinkToFit="1"/>
    </xf>
    <xf numFmtId="40" fontId="43" fillId="0" borderId="53" xfId="34" applyNumberFormat="1" applyFont="1" applyFill="1" applyBorder="1" applyAlignment="1">
      <alignment horizontal="center" vertical="center" shrinkToFit="1"/>
    </xf>
    <xf numFmtId="177" fontId="47" fillId="0" borderId="92" xfId="0" applyNumberFormat="1" applyFont="1" applyFill="1" applyBorder="1" applyAlignment="1" applyProtection="1">
      <alignment vertical="center"/>
    </xf>
    <xf numFmtId="177" fontId="47" fillId="0" borderId="89" xfId="0" applyNumberFormat="1" applyFont="1" applyFill="1" applyBorder="1" applyAlignment="1" applyProtection="1">
      <alignment vertical="center"/>
    </xf>
    <xf numFmtId="40" fontId="39" fillId="0" borderId="13" xfId="34" applyNumberFormat="1" applyFont="1" applyFill="1" applyBorder="1" applyAlignment="1">
      <alignment vertical="center" shrinkToFit="1"/>
    </xf>
    <xf numFmtId="0" fontId="43" fillId="0" borderId="14" xfId="44" applyFont="1" applyFill="1" applyBorder="1" applyAlignment="1">
      <alignment horizontal="center" vertical="center" shrinkToFit="1"/>
    </xf>
    <xf numFmtId="177" fontId="47" fillId="0" borderId="13" xfId="0" applyNumberFormat="1" applyFont="1" applyFill="1" applyBorder="1" applyAlignment="1" applyProtection="1">
      <alignment vertical="center"/>
    </xf>
    <xf numFmtId="0" fontId="43" fillId="0" borderId="93" xfId="44" applyFont="1" applyFill="1" applyBorder="1" applyAlignment="1">
      <alignment horizontal="center" vertical="center" shrinkToFit="1"/>
    </xf>
    <xf numFmtId="38" fontId="44" fillId="0" borderId="22" xfId="34" applyFont="1" applyFill="1" applyBorder="1" applyAlignment="1">
      <alignment horizontal="center" vertical="center" shrinkToFit="1"/>
    </xf>
    <xf numFmtId="40" fontId="44" fillId="0" borderId="22" xfId="34" applyNumberFormat="1" applyFont="1" applyFill="1" applyBorder="1" applyAlignment="1">
      <alignment vertical="center" shrinkToFit="1"/>
    </xf>
    <xf numFmtId="40" fontId="39" fillId="0" borderId="22" xfId="34" applyNumberFormat="1" applyFont="1" applyFill="1" applyBorder="1" applyAlignment="1">
      <alignment vertical="center" shrinkToFit="1"/>
    </xf>
    <xf numFmtId="177" fontId="47" fillId="0" borderId="23" xfId="0" applyNumberFormat="1" applyFont="1" applyFill="1" applyBorder="1" applyAlignment="1" applyProtection="1">
      <alignment vertical="center"/>
    </xf>
    <xf numFmtId="40" fontId="43" fillId="0" borderId="13" xfId="34" applyNumberFormat="1" applyFont="1" applyFill="1" applyBorder="1" applyAlignment="1">
      <alignment vertical="center" shrinkToFit="1"/>
    </xf>
    <xf numFmtId="40" fontId="39" fillId="0" borderId="23" xfId="34" applyNumberFormat="1" applyFont="1" applyFill="1" applyBorder="1" applyAlignment="1">
      <alignment vertical="center" shrinkToFit="1"/>
    </xf>
    <xf numFmtId="38" fontId="44" fillId="0" borderId="13" xfId="34" applyFont="1" applyFill="1" applyBorder="1" applyAlignment="1">
      <alignment horizontal="center" vertical="center" shrinkToFit="1"/>
    </xf>
    <xf numFmtId="40" fontId="44" fillId="0" borderId="13" xfId="34" applyNumberFormat="1" applyFont="1" applyFill="1" applyBorder="1" applyAlignment="1">
      <alignment vertical="center" shrinkToFit="1"/>
    </xf>
    <xf numFmtId="40" fontId="39" fillId="0" borderId="53" xfId="34" applyNumberFormat="1" applyFont="1" applyFill="1" applyBorder="1" applyAlignment="1">
      <alignment vertical="center" shrinkToFit="1"/>
    </xf>
    <xf numFmtId="40" fontId="44" fillId="0" borderId="23" xfId="34" applyNumberFormat="1" applyFont="1" applyFill="1" applyBorder="1" applyAlignment="1">
      <alignment vertical="center" shrinkToFit="1"/>
    </xf>
    <xf numFmtId="38" fontId="44" fillId="0" borderId="23" xfId="34" applyFont="1" applyFill="1" applyBorder="1" applyAlignment="1">
      <alignment horizontal="center" vertical="center" shrinkToFit="1"/>
    </xf>
    <xf numFmtId="40" fontId="39" fillId="0" borderId="63" xfId="34" applyNumberFormat="1" applyFont="1" applyFill="1" applyBorder="1" applyAlignment="1">
      <alignment vertical="center" shrinkToFit="1"/>
    </xf>
    <xf numFmtId="40" fontId="39" fillId="0" borderId="61" xfId="34" applyNumberFormat="1" applyFont="1" applyFill="1" applyBorder="1" applyAlignment="1">
      <alignment vertical="center" shrinkToFit="1"/>
    </xf>
    <xf numFmtId="177" fontId="47" fillId="0" borderId="53" xfId="0" applyNumberFormat="1" applyFont="1" applyFill="1" applyBorder="1" applyAlignment="1" applyProtection="1">
      <alignment vertical="center"/>
    </xf>
    <xf numFmtId="40" fontId="43" fillId="0" borderId="61" xfId="34" applyNumberFormat="1" applyFont="1" applyFill="1" applyBorder="1" applyAlignment="1">
      <alignment vertical="center" shrinkToFit="1"/>
    </xf>
    <xf numFmtId="0" fontId="43" fillId="0" borderId="22" xfId="44" applyFont="1" applyFill="1" applyBorder="1" applyAlignment="1">
      <alignment horizontal="center" vertical="center" shrinkToFit="1"/>
    </xf>
    <xf numFmtId="40" fontId="44" fillId="0" borderId="94" xfId="34" applyNumberFormat="1" applyFont="1" applyFill="1" applyBorder="1" applyAlignment="1">
      <alignment vertical="center" shrinkToFit="1"/>
    </xf>
    <xf numFmtId="40" fontId="43" fillId="0" borderId="61" xfId="34" applyNumberFormat="1" applyFont="1" applyFill="1" applyBorder="1" applyAlignment="1">
      <alignment horizontal="center" vertical="center" shrinkToFit="1"/>
    </xf>
    <xf numFmtId="177" fontId="47" fillId="0" borderId="61" xfId="0" applyNumberFormat="1" applyFont="1" applyFill="1" applyBorder="1" applyAlignment="1" applyProtection="1">
      <alignment vertical="center"/>
    </xf>
    <xf numFmtId="0" fontId="43" fillId="0" borderId="54" xfId="44" applyFont="1" applyFill="1" applyBorder="1" applyAlignment="1">
      <alignment horizontal="center" vertical="center" shrinkToFit="1"/>
    </xf>
    <xf numFmtId="38" fontId="44" fillId="0" borderId="50" xfId="34" applyFont="1" applyFill="1" applyBorder="1" applyAlignment="1">
      <alignment horizontal="center" vertical="center" shrinkToFit="1"/>
    </xf>
    <xf numFmtId="40" fontId="44" fillId="0" borderId="56" xfId="34" applyNumberFormat="1" applyFont="1" applyFill="1" applyBorder="1" applyAlignment="1">
      <alignment vertical="center" shrinkToFit="1"/>
    </xf>
    <xf numFmtId="40" fontId="39" fillId="0" borderId="50" xfId="34" applyNumberFormat="1" applyFont="1" applyFill="1" applyBorder="1" applyAlignment="1">
      <alignment vertical="center" shrinkToFit="1"/>
    </xf>
    <xf numFmtId="40" fontId="43" fillId="0" borderId="50" xfId="34" applyNumberFormat="1" applyFont="1" applyFill="1" applyBorder="1" applyAlignment="1">
      <alignment horizontal="center" vertical="center" shrinkToFit="1"/>
    </xf>
    <xf numFmtId="177" fontId="47" fillId="0" borderId="12" xfId="0" applyNumberFormat="1" applyFont="1" applyFill="1" applyBorder="1" applyAlignment="1" applyProtection="1">
      <alignment vertical="center"/>
    </xf>
    <xf numFmtId="177" fontId="47" fillId="0" borderId="50" xfId="0" applyNumberFormat="1" applyFont="1" applyFill="1" applyBorder="1" applyAlignment="1" applyProtection="1">
      <alignment vertical="center"/>
    </xf>
    <xf numFmtId="40" fontId="43" fillId="0" borderId="50" xfId="34" applyNumberFormat="1" applyFont="1" applyFill="1" applyBorder="1" applyAlignment="1">
      <alignment vertical="center" shrinkToFit="1"/>
    </xf>
    <xf numFmtId="40" fontId="39" fillId="0" borderId="56" xfId="34" applyNumberFormat="1" applyFont="1" applyFill="1" applyBorder="1" applyAlignment="1">
      <alignment vertical="center" shrinkToFit="1"/>
    </xf>
    <xf numFmtId="0" fontId="48" fillId="0" borderId="54" xfId="44" applyFont="1" applyFill="1" applyBorder="1" applyAlignment="1">
      <alignment horizontal="center" vertical="center" shrinkToFit="1"/>
    </xf>
    <xf numFmtId="38" fontId="48" fillId="0" borderId="54" xfId="34" applyFont="1" applyFill="1" applyBorder="1" applyAlignment="1">
      <alignment horizontal="center" vertical="center" shrinkToFit="1"/>
    </xf>
    <xf numFmtId="179" fontId="48" fillId="0" borderId="95" xfId="28" applyNumberFormat="1" applyFont="1" applyFill="1" applyBorder="1" applyAlignment="1">
      <alignment vertical="center" shrinkToFit="1"/>
    </xf>
    <xf numFmtId="38" fontId="48" fillId="0" borderId="50" xfId="34" applyFont="1" applyFill="1" applyBorder="1" applyAlignment="1">
      <alignment vertical="center" shrinkToFit="1"/>
    </xf>
    <xf numFmtId="40" fontId="40" fillId="0" borderId="50" xfId="34" applyNumberFormat="1" applyFont="1" applyFill="1" applyBorder="1" applyAlignment="1">
      <alignment vertical="center" shrinkToFit="1"/>
    </xf>
    <xf numFmtId="40" fontId="48" fillId="0" borderId="50" xfId="34" applyNumberFormat="1" applyFont="1" applyFill="1" applyBorder="1" applyAlignment="1">
      <alignment vertical="center" shrinkToFit="1"/>
    </xf>
    <xf numFmtId="38" fontId="49" fillId="0" borderId="50" xfId="34" applyFont="1" applyFill="1" applyBorder="1" applyAlignment="1">
      <alignment vertical="center" shrinkToFit="1"/>
    </xf>
    <xf numFmtId="40" fontId="40" fillId="0" borderId="56" xfId="34" applyNumberFormat="1" applyFont="1" applyFill="1" applyBorder="1" applyAlignment="1">
      <alignment vertical="center" shrinkToFit="1"/>
    </xf>
    <xf numFmtId="10" fontId="39" fillId="0" borderId="0" xfId="28" applyNumberFormat="1" applyFont="1" applyFill="1" applyAlignment="1">
      <alignment vertical="center"/>
    </xf>
    <xf numFmtId="40" fontId="7" fillId="24" borderId="96" xfId="34" applyNumberFormat="1" applyFont="1" applyFill="1" applyBorder="1" applyAlignment="1">
      <alignment horizontal="center" vertical="center" shrinkToFit="1"/>
    </xf>
    <xf numFmtId="40" fontId="7" fillId="24" borderId="42" xfId="34" applyNumberFormat="1" applyFont="1" applyFill="1" applyBorder="1" applyAlignment="1">
      <alignment horizontal="center" vertical="center" shrinkToFit="1"/>
    </xf>
    <xf numFmtId="40" fontId="7" fillId="24" borderId="49" xfId="34" applyNumberFormat="1" applyFont="1" applyFill="1" applyBorder="1" applyAlignment="1">
      <alignment horizontal="center" vertical="center" shrinkToFit="1"/>
    </xf>
    <xf numFmtId="0" fontId="1" fillId="0" borderId="44" xfId="44" applyFont="1" applyBorder="1" applyAlignment="1">
      <alignment horizontal="center" vertical="center" shrinkToFit="1"/>
    </xf>
    <xf numFmtId="0" fontId="28" fillId="0" borderId="0" xfId="44" applyFont="1" applyAlignment="1">
      <alignment horizontal="center" vertical="center"/>
    </xf>
    <xf numFmtId="40" fontId="7" fillId="24" borderId="48" xfId="34" applyNumberFormat="1" applyFont="1" applyFill="1" applyBorder="1" applyAlignment="1">
      <alignment horizontal="center" vertical="center" shrinkToFit="1"/>
    </xf>
    <xf numFmtId="40" fontId="7" fillId="24" borderId="19" xfId="34" applyNumberFormat="1" applyFont="1" applyFill="1" applyBorder="1" applyAlignment="1">
      <alignment horizontal="center" vertical="center" shrinkToFit="1"/>
    </xf>
    <xf numFmtId="40" fontId="7" fillId="24" borderId="46" xfId="34" applyNumberFormat="1" applyFont="1" applyFill="1" applyBorder="1" applyAlignment="1">
      <alignment horizontal="center" vertical="center" shrinkToFit="1"/>
    </xf>
    <xf numFmtId="40" fontId="7" fillId="24" borderId="24" xfId="34" applyNumberFormat="1" applyFont="1" applyFill="1" applyBorder="1" applyAlignment="1">
      <alignment horizontal="center" vertical="center" shrinkToFit="1"/>
    </xf>
    <xf numFmtId="38" fontId="52" fillId="24" borderId="45" xfId="34" applyFont="1" applyFill="1" applyBorder="1" applyAlignment="1" applyProtection="1">
      <alignment vertical="center"/>
    </xf>
    <xf numFmtId="38" fontId="52" fillId="24" borderId="43" xfId="34" applyFont="1" applyFill="1" applyBorder="1" applyAlignment="1" applyProtection="1">
      <alignment vertical="center"/>
    </xf>
    <xf numFmtId="38" fontId="52" fillId="24" borderId="28" xfId="34" applyFont="1" applyFill="1" applyBorder="1" applyAlignment="1" applyProtection="1">
      <alignment vertical="center"/>
    </xf>
    <xf numFmtId="38" fontId="52" fillId="24" borderId="29" xfId="34" applyFont="1" applyFill="1" applyBorder="1" applyAlignment="1" applyProtection="1">
      <alignment vertical="center"/>
    </xf>
    <xf numFmtId="38" fontId="52" fillId="24" borderId="30" xfId="34" applyFont="1" applyFill="1" applyBorder="1" applyAlignment="1" applyProtection="1">
      <alignment vertical="center"/>
    </xf>
    <xf numFmtId="38" fontId="52" fillId="24" borderId="27" xfId="34" applyFont="1" applyFill="1" applyBorder="1" applyAlignment="1" applyProtection="1">
      <alignment vertical="center"/>
    </xf>
    <xf numFmtId="40" fontId="7" fillId="24" borderId="108" xfId="34" applyNumberFormat="1" applyFont="1" applyFill="1" applyBorder="1" applyAlignment="1">
      <alignment horizontal="center" vertical="center" shrinkToFit="1"/>
    </xf>
    <xf numFmtId="40" fontId="26" fillId="0" borderId="94" xfId="34" applyNumberFormat="1" applyFont="1" applyBorder="1" applyAlignment="1">
      <alignment vertical="center" shrinkToFit="1"/>
    </xf>
    <xf numFmtId="40" fontId="26" fillId="0" borderId="109" xfId="34" applyNumberFormat="1" applyFont="1" applyBorder="1" applyAlignment="1">
      <alignment vertical="center" shrinkToFit="1"/>
    </xf>
    <xf numFmtId="40" fontId="26" fillId="0" borderId="63" xfId="34" applyNumberFormat="1" applyFont="1" applyBorder="1" applyAlignment="1">
      <alignment vertical="center" shrinkToFit="1"/>
    </xf>
    <xf numFmtId="40" fontId="26" fillId="0" borderId="110" xfId="34" applyNumberFormat="1" applyFont="1" applyBorder="1" applyAlignment="1">
      <alignment vertical="center" shrinkToFit="1"/>
    </xf>
    <xf numFmtId="40" fontId="26" fillId="0" borderId="111" xfId="34" applyNumberFormat="1" applyFont="1" applyBorder="1" applyAlignment="1">
      <alignment vertical="center" shrinkToFit="1"/>
    </xf>
    <xf numFmtId="40" fontId="26" fillId="0" borderId="112" xfId="34" applyNumberFormat="1" applyFont="1" applyBorder="1" applyAlignment="1">
      <alignment vertical="center" shrinkToFit="1"/>
    </xf>
    <xf numFmtId="40" fontId="26" fillId="0" borderId="113" xfId="34" applyNumberFormat="1" applyFont="1" applyBorder="1" applyAlignment="1">
      <alignment vertical="center" shrinkToFit="1"/>
    </xf>
    <xf numFmtId="40" fontId="7" fillId="24" borderId="90" xfId="34" applyNumberFormat="1" applyFont="1" applyFill="1" applyBorder="1" applyAlignment="1">
      <alignment horizontal="center" vertical="center" shrinkToFit="1"/>
    </xf>
    <xf numFmtId="40" fontId="7" fillId="24" borderId="115" xfId="34" applyNumberFormat="1" applyFont="1" applyFill="1" applyBorder="1" applyAlignment="1">
      <alignment horizontal="center" vertical="center" shrinkToFit="1"/>
    </xf>
    <xf numFmtId="0" fontId="54" fillId="0" borderId="0" xfId="44" applyFont="1" applyAlignment="1">
      <alignment vertical="center"/>
    </xf>
    <xf numFmtId="38" fontId="52" fillId="24" borderId="47" xfId="34" applyFont="1" applyFill="1" applyBorder="1" applyAlignment="1" applyProtection="1">
      <alignment vertical="center"/>
    </xf>
    <xf numFmtId="0" fontId="56" fillId="0" borderId="14" xfId="44" applyFont="1" applyBorder="1" applyAlignment="1">
      <alignment horizontal="center" vertical="center" wrapText="1"/>
    </xf>
    <xf numFmtId="38" fontId="52" fillId="24" borderId="114" xfId="34" applyFont="1" applyFill="1" applyBorder="1" applyAlignment="1" applyProtection="1">
      <alignment vertical="center"/>
    </xf>
    <xf numFmtId="0" fontId="43" fillId="0" borderId="90" xfId="44" applyFont="1" applyBorder="1" applyAlignment="1">
      <alignment horizontal="center" vertical="center" shrinkToFit="1"/>
    </xf>
    <xf numFmtId="0" fontId="43" fillId="0" borderId="62" xfId="44" applyFont="1" applyBorder="1" applyAlignment="1">
      <alignment horizontal="center" vertical="center" shrinkToFit="1"/>
    </xf>
    <xf numFmtId="0" fontId="43" fillId="0" borderId="91" xfId="44" applyFont="1" applyBorder="1" applyAlignment="1">
      <alignment horizontal="center" vertical="center" shrinkToFit="1"/>
    </xf>
    <xf numFmtId="0" fontId="43" fillId="0" borderId="63" xfId="44" applyFont="1" applyBorder="1" applyAlignment="1">
      <alignment horizontal="center" vertical="center" shrinkToFit="1"/>
    </xf>
    <xf numFmtId="0" fontId="43" fillId="0" borderId="89" xfId="44" applyFont="1" applyBorder="1" applyAlignment="1">
      <alignment horizontal="center" vertical="center" wrapText="1" shrinkToFit="1"/>
    </xf>
    <xf numFmtId="0" fontId="43" fillId="0" borderId="23" xfId="44" applyFont="1" applyBorder="1" applyAlignment="1">
      <alignment horizontal="center" vertical="center" wrapText="1" shrinkToFit="1"/>
    </xf>
    <xf numFmtId="0" fontId="43" fillId="0" borderId="23" xfId="44" applyFont="1" applyBorder="1" applyAlignment="1">
      <alignment horizontal="center" vertical="center" shrinkToFit="1"/>
    </xf>
    <xf numFmtId="0" fontId="24" fillId="0" borderId="14" xfId="44" applyFont="1" applyBorder="1" applyAlignment="1">
      <alignment horizontal="center" vertical="center" shrinkToFit="1"/>
    </xf>
    <xf numFmtId="0" fontId="24" fillId="0" borderId="53" xfId="44" applyFont="1" applyBorder="1" applyAlignment="1">
      <alignment horizontal="center" vertical="center" shrinkToFit="1"/>
    </xf>
    <xf numFmtId="0" fontId="44" fillId="0" borderId="14" xfId="44" applyFont="1" applyBorder="1" applyAlignment="1">
      <alignment horizontal="center" vertical="center" shrinkToFit="1"/>
    </xf>
    <xf numFmtId="0" fontId="44" fillId="0" borderId="53" xfId="44" applyFont="1" applyBorder="1" applyAlignment="1">
      <alignment horizontal="center" vertical="center" shrinkToFit="1"/>
    </xf>
    <xf numFmtId="0" fontId="23" fillId="0" borderId="0" xfId="44" applyFont="1" applyBorder="1" applyAlignment="1">
      <alignment horizontal="center" wrapText="1"/>
    </xf>
    <xf numFmtId="0" fontId="35" fillId="0" borderId="0" xfId="44" applyFont="1" applyAlignment="1">
      <alignment horizontal="center" vertical="center"/>
    </xf>
    <xf numFmtId="0" fontId="42" fillId="0" borderId="0" xfId="44" applyFont="1" applyAlignment="1">
      <alignment horizontal="center" vertical="center"/>
    </xf>
    <xf numFmtId="0" fontId="34" fillId="0" borderId="0" xfId="44" applyFont="1" applyAlignment="1">
      <alignment horizontal="center" vertical="center"/>
    </xf>
    <xf numFmtId="0" fontId="40" fillId="0" borderId="0" xfId="44" applyFont="1" applyAlignment="1">
      <alignment horizontal="center" vertical="center"/>
    </xf>
    <xf numFmtId="0" fontId="23" fillId="0" borderId="98" xfId="44" applyFont="1" applyBorder="1" applyAlignment="1">
      <alignment horizontal="center" vertical="center" shrinkToFit="1"/>
    </xf>
    <xf numFmtId="0" fontId="23" fillId="0" borderId="61" xfId="44" applyFont="1" applyBorder="1" applyAlignment="1">
      <alignment horizontal="center" vertical="center" shrinkToFit="1"/>
    </xf>
    <xf numFmtId="0" fontId="23" fillId="0" borderId="15" xfId="44" applyFont="1" applyBorder="1" applyAlignment="1">
      <alignment horizontal="center" vertical="center" shrinkToFit="1"/>
    </xf>
    <xf numFmtId="0" fontId="23" fillId="0" borderId="55" xfId="44" applyFont="1" applyBorder="1" applyAlignment="1">
      <alignment horizontal="center" vertical="center" shrinkToFit="1"/>
    </xf>
    <xf numFmtId="0" fontId="23" fillId="0" borderId="99" xfId="44" applyFont="1" applyBorder="1" applyAlignment="1">
      <alignment horizontal="center" vertical="center" shrinkToFit="1"/>
    </xf>
    <xf numFmtId="0" fontId="23" fillId="0" borderId="100" xfId="44" applyFont="1" applyBorder="1" applyAlignment="1">
      <alignment horizontal="center" vertical="center" shrinkToFit="1"/>
    </xf>
    <xf numFmtId="0" fontId="23" fillId="0" borderId="38" xfId="44" applyFont="1" applyBorder="1" applyAlignment="1">
      <alignment horizontal="center" vertical="center" shrinkToFit="1"/>
    </xf>
    <xf numFmtId="0" fontId="23" fillId="0" borderId="101" xfId="44" applyFont="1" applyBorder="1" applyAlignment="1">
      <alignment horizontal="center" vertical="center" shrinkToFit="1"/>
    </xf>
    <xf numFmtId="0" fontId="23" fillId="0" borderId="40" xfId="44" applyFont="1" applyBorder="1" applyAlignment="1">
      <alignment horizontal="center" vertical="center" shrinkToFit="1"/>
    </xf>
    <xf numFmtId="0" fontId="23" fillId="0" borderId="89" xfId="44" applyFont="1" applyBorder="1" applyAlignment="1">
      <alignment horizontal="center" vertical="center" wrapText="1" shrinkToFit="1"/>
    </xf>
    <xf numFmtId="0" fontId="23" fillId="0" borderId="23" xfId="44" applyFont="1" applyBorder="1" applyAlignment="1">
      <alignment horizontal="center" vertical="center" wrapText="1" shrinkToFit="1"/>
    </xf>
    <xf numFmtId="0" fontId="43" fillId="0" borderId="98" xfId="44" applyFont="1" applyBorder="1" applyAlignment="1">
      <alignment horizontal="center" vertical="center" shrinkToFit="1"/>
    </xf>
    <xf numFmtId="0" fontId="43" fillId="0" borderId="61" xfId="44" applyFont="1" applyBorder="1" applyAlignment="1">
      <alignment horizontal="center" vertical="center" shrinkToFit="1"/>
    </xf>
    <xf numFmtId="0" fontId="43" fillId="0" borderId="15" xfId="44" applyFont="1" applyBorder="1" applyAlignment="1">
      <alignment horizontal="center" vertical="center" shrinkToFit="1"/>
    </xf>
    <xf numFmtId="0" fontId="43" fillId="0" borderId="55" xfId="44" applyFont="1" applyBorder="1" applyAlignment="1">
      <alignment horizontal="center" vertical="center" shrinkToFit="1"/>
    </xf>
    <xf numFmtId="0" fontId="43" fillId="0" borderId="99" xfId="44" applyFont="1" applyBorder="1" applyAlignment="1">
      <alignment horizontal="center" vertical="center" shrinkToFit="1"/>
    </xf>
    <xf numFmtId="0" fontId="43" fillId="0" borderId="100" xfId="44" applyFont="1" applyBorder="1" applyAlignment="1">
      <alignment horizontal="center" vertical="center" shrinkToFit="1"/>
    </xf>
    <xf numFmtId="0" fontId="43" fillId="0" borderId="38" xfId="44" applyFont="1" applyBorder="1" applyAlignment="1">
      <alignment horizontal="center" vertical="center" shrinkToFit="1"/>
    </xf>
    <xf numFmtId="0" fontId="43" fillId="0" borderId="101" xfId="44" applyFont="1" applyBorder="1" applyAlignment="1">
      <alignment horizontal="center" vertical="center" shrinkToFit="1"/>
    </xf>
    <xf numFmtId="0" fontId="43" fillId="0" borderId="40" xfId="44" applyFont="1" applyBorder="1" applyAlignment="1">
      <alignment horizontal="center" vertical="center" shrinkToFit="1"/>
    </xf>
    <xf numFmtId="0" fontId="23" fillId="0" borderId="23" xfId="44" applyFont="1" applyBorder="1" applyAlignment="1">
      <alignment horizontal="center" vertical="center" shrinkToFit="1"/>
    </xf>
    <xf numFmtId="0" fontId="23" fillId="0" borderId="89" xfId="44" applyFont="1" applyBorder="1" applyAlignment="1">
      <alignment horizontal="center" vertical="center" shrinkToFit="1"/>
    </xf>
    <xf numFmtId="0" fontId="23" fillId="0" borderId="90" xfId="44" applyFont="1" applyBorder="1" applyAlignment="1">
      <alignment horizontal="center" vertical="center" shrinkToFit="1"/>
    </xf>
    <xf numFmtId="0" fontId="23" fillId="0" borderId="62" xfId="44" applyFont="1" applyBorder="1" applyAlignment="1">
      <alignment horizontal="center" vertical="center" shrinkToFit="1"/>
    </xf>
    <xf numFmtId="0" fontId="23" fillId="0" borderId="91" xfId="44" applyFont="1" applyBorder="1" applyAlignment="1">
      <alignment horizontal="center" vertical="center" shrinkToFit="1"/>
    </xf>
    <xf numFmtId="0" fontId="23" fillId="0" borderId="63" xfId="44" applyFont="1" applyBorder="1" applyAlignment="1">
      <alignment horizontal="center" vertical="center" shrinkToFit="1"/>
    </xf>
    <xf numFmtId="0" fontId="43" fillId="0" borderId="89" xfId="44" applyFont="1" applyBorder="1" applyAlignment="1">
      <alignment horizontal="center" vertical="center" shrinkToFit="1"/>
    </xf>
    <xf numFmtId="0" fontId="39" fillId="0" borderId="22" xfId="44" applyFont="1" applyBorder="1" applyAlignment="1">
      <alignment horizontal="center" vertical="center" shrinkToFit="1"/>
    </xf>
    <xf numFmtId="0" fontId="39" fillId="0" borderId="50" xfId="0" applyFont="1" applyBorder="1" applyAlignment="1">
      <alignment horizontal="center" vertical="center" shrinkToFit="1"/>
    </xf>
    <xf numFmtId="38" fontId="44" fillId="24" borderId="22" xfId="34" applyFont="1" applyFill="1" applyBorder="1" applyAlignment="1">
      <alignment horizontal="center" vertical="center" shrinkToFit="1"/>
    </xf>
    <xf numFmtId="38" fontId="44" fillId="24" borderId="50" xfId="34" applyFont="1" applyFill="1" applyBorder="1" applyAlignment="1">
      <alignment horizontal="center" vertical="center" shrinkToFit="1"/>
    </xf>
    <xf numFmtId="40" fontId="44" fillId="0" borderId="22" xfId="34" applyNumberFormat="1" applyFont="1" applyBorder="1" applyAlignment="1">
      <alignment horizontal="right" vertical="center" shrinkToFit="1"/>
    </xf>
    <xf numFmtId="40" fontId="44" fillId="0" borderId="50" xfId="34" applyNumberFormat="1" applyFont="1" applyBorder="1" applyAlignment="1">
      <alignment horizontal="right" vertical="center" shrinkToFit="1"/>
    </xf>
    <xf numFmtId="38" fontId="44" fillId="0" borderId="22" xfId="34" applyFont="1" applyBorder="1" applyAlignment="1">
      <alignment horizontal="center" vertical="center" shrinkToFit="1"/>
    </xf>
    <xf numFmtId="38" fontId="44" fillId="0" borderId="50" xfId="34" applyFont="1" applyBorder="1" applyAlignment="1">
      <alignment horizontal="center" vertical="center" shrinkToFit="1"/>
    </xf>
    <xf numFmtId="40" fontId="39" fillId="0" borderId="22" xfId="34" applyNumberFormat="1" applyFont="1" applyBorder="1" applyAlignment="1">
      <alignment horizontal="right" vertical="center" shrinkToFit="1"/>
    </xf>
    <xf numFmtId="40" fontId="39" fillId="0" borderId="50" xfId="34" applyNumberFormat="1" applyFont="1" applyBorder="1" applyAlignment="1">
      <alignment horizontal="right" vertical="center" shrinkToFit="1"/>
    </xf>
    <xf numFmtId="40" fontId="39" fillId="24" borderId="22" xfId="34" applyNumberFormat="1" applyFont="1" applyFill="1" applyBorder="1" applyAlignment="1">
      <alignment horizontal="right" vertical="center" shrinkToFit="1"/>
    </xf>
    <xf numFmtId="40" fontId="39" fillId="24" borderId="50" xfId="34" applyNumberFormat="1" applyFont="1" applyFill="1" applyBorder="1" applyAlignment="1">
      <alignment horizontal="right" vertical="center" shrinkToFit="1"/>
    </xf>
    <xf numFmtId="0" fontId="39" fillId="0" borderId="13" xfId="0" applyFont="1" applyBorder="1" applyAlignment="1">
      <alignment horizontal="center" vertical="center" shrinkToFit="1"/>
    </xf>
    <xf numFmtId="38" fontId="44" fillId="24" borderId="13" xfId="34" applyFont="1" applyFill="1" applyBorder="1" applyAlignment="1">
      <alignment horizontal="center" vertical="center" shrinkToFit="1"/>
    </xf>
    <xf numFmtId="40" fontId="44" fillId="0" borderId="13" xfId="34" applyNumberFormat="1" applyFont="1" applyBorder="1" applyAlignment="1">
      <alignment horizontal="right" vertical="center" shrinkToFit="1"/>
    </xf>
    <xf numFmtId="38" fontId="44" fillId="0" borderId="13" xfId="34" applyFont="1" applyBorder="1" applyAlignment="1">
      <alignment horizontal="center" vertical="center" shrinkToFit="1"/>
    </xf>
    <xf numFmtId="40" fontId="39" fillId="0" borderId="13" xfId="34" applyNumberFormat="1" applyFont="1" applyBorder="1" applyAlignment="1">
      <alignment horizontal="right" vertical="center" shrinkToFit="1"/>
    </xf>
    <xf numFmtId="40" fontId="39" fillId="24" borderId="13" xfId="34" applyNumberFormat="1" applyFont="1" applyFill="1" applyBorder="1" applyAlignment="1">
      <alignment horizontal="right" vertical="center" shrinkToFit="1"/>
    </xf>
    <xf numFmtId="0" fontId="39" fillId="0" borderId="13" xfId="44" applyFont="1" applyBorder="1" applyAlignment="1">
      <alignment horizontal="center" vertical="center" shrinkToFit="1"/>
    </xf>
    <xf numFmtId="0" fontId="39" fillId="0" borderId="89" xfId="44" applyFont="1" applyBorder="1" applyAlignment="1">
      <alignment horizontal="center" vertical="center" shrinkToFit="1"/>
    </xf>
    <xf numFmtId="38" fontId="40" fillId="24" borderId="89" xfId="34" applyFont="1" applyFill="1" applyBorder="1" applyAlignment="1">
      <alignment horizontal="center" vertical="center" shrinkToFit="1"/>
    </xf>
    <xf numFmtId="38" fontId="40" fillId="24" borderId="13" xfId="34" applyFont="1" applyFill="1" applyBorder="1" applyAlignment="1">
      <alignment horizontal="center" vertical="center" shrinkToFit="1"/>
    </xf>
    <xf numFmtId="40" fontId="40" fillId="0" borderId="89" xfId="34" applyNumberFormat="1" applyFont="1" applyFill="1" applyBorder="1" applyAlignment="1">
      <alignment horizontal="right" vertical="center" shrinkToFit="1"/>
    </xf>
    <xf numFmtId="40" fontId="40" fillId="0" borderId="13" xfId="34" applyNumberFormat="1" applyFont="1" applyFill="1" applyBorder="1" applyAlignment="1">
      <alignment horizontal="right" vertical="center" shrinkToFit="1"/>
    </xf>
    <xf numFmtId="38" fontId="40" fillId="0" borderId="89" xfId="34" applyFont="1" applyFill="1" applyBorder="1" applyAlignment="1">
      <alignment horizontal="center" vertical="center" shrinkToFit="1"/>
    </xf>
    <xf numFmtId="38" fontId="40" fillId="0" borderId="13" xfId="34" applyFont="1" applyFill="1" applyBorder="1" applyAlignment="1">
      <alignment horizontal="center" vertical="center" shrinkToFit="1"/>
    </xf>
    <xf numFmtId="40" fontId="39" fillId="0" borderId="89" xfId="34" applyNumberFormat="1" applyFont="1" applyBorder="1" applyAlignment="1">
      <alignment horizontal="right" vertical="center" shrinkToFit="1"/>
    </xf>
    <xf numFmtId="0" fontId="43" fillId="0" borderId="102" xfId="44" applyFont="1" applyBorder="1" applyAlignment="1">
      <alignment horizontal="center" vertical="center" shrinkToFit="1"/>
    </xf>
    <xf numFmtId="0" fontId="43" fillId="0" borderId="103" xfId="44" applyFont="1" applyBorder="1" applyAlignment="1">
      <alignment horizontal="center" vertical="center" shrinkToFit="1"/>
    </xf>
    <xf numFmtId="38" fontId="24" fillId="0" borderId="22" xfId="34" applyFont="1" applyFill="1" applyBorder="1" applyAlignment="1">
      <alignment horizontal="center" vertical="center" shrinkToFit="1"/>
    </xf>
    <xf numFmtId="40" fontId="7" fillId="0" borderId="22" xfId="34" applyNumberFormat="1" applyFont="1" applyFill="1" applyBorder="1" applyAlignment="1">
      <alignment horizontal="right" vertical="center" shrinkToFit="1"/>
    </xf>
    <xf numFmtId="38" fontId="24" fillId="0" borderId="13" xfId="34" applyFont="1" applyFill="1" applyBorder="1" applyAlignment="1">
      <alignment horizontal="center" vertical="center" shrinkToFit="1"/>
    </xf>
    <xf numFmtId="40" fontId="7" fillId="0" borderId="13" xfId="34" applyNumberFormat="1" applyFont="1" applyFill="1" applyBorder="1" applyAlignment="1">
      <alignment horizontal="right" vertical="center" shrinkToFit="1"/>
    </xf>
    <xf numFmtId="0" fontId="39" fillId="0" borderId="23" xfId="44" applyFont="1" applyBorder="1" applyAlignment="1">
      <alignment horizontal="center" vertical="center" shrinkToFit="1"/>
    </xf>
    <xf numFmtId="0" fontId="24" fillId="0" borderId="14" xfId="44" applyFont="1" applyFill="1" applyBorder="1" applyAlignment="1">
      <alignment horizontal="center" vertical="center" shrinkToFit="1"/>
    </xf>
    <xf numFmtId="0" fontId="24" fillId="0" borderId="53" xfId="44" applyFont="1" applyFill="1" applyBorder="1" applyAlignment="1">
      <alignment horizontal="center" vertical="center" shrinkToFit="1"/>
    </xf>
    <xf numFmtId="38" fontId="1" fillId="0" borderId="89" xfId="34" applyFont="1" applyFill="1" applyBorder="1" applyAlignment="1">
      <alignment horizontal="center" vertical="center" shrinkToFit="1"/>
    </xf>
    <xf numFmtId="38" fontId="1" fillId="0" borderId="13" xfId="34" applyFont="1" applyFill="1" applyBorder="1" applyAlignment="1">
      <alignment horizontal="center" vertical="center" shrinkToFit="1"/>
    </xf>
    <xf numFmtId="0" fontId="23" fillId="0" borderId="90" xfId="44" applyFont="1" applyFill="1" applyBorder="1" applyAlignment="1">
      <alignment horizontal="center" vertical="center" shrinkToFit="1"/>
    </xf>
    <xf numFmtId="0" fontId="23" fillId="0" borderId="62" xfId="44" applyFont="1" applyFill="1" applyBorder="1" applyAlignment="1">
      <alignment horizontal="center" vertical="center" shrinkToFit="1"/>
    </xf>
    <xf numFmtId="0" fontId="23" fillId="0" borderId="91" xfId="44" applyFont="1" applyFill="1" applyBorder="1" applyAlignment="1">
      <alignment horizontal="center" vertical="center" shrinkToFit="1"/>
    </xf>
    <xf numFmtId="0" fontId="23" fillId="0" borderId="63" xfId="44" applyFont="1" applyFill="1" applyBorder="1" applyAlignment="1">
      <alignment horizontal="center" vertical="center" shrinkToFit="1"/>
    </xf>
    <xf numFmtId="0" fontId="23" fillId="0" borderId="89" xfId="44" applyFont="1" applyFill="1" applyBorder="1" applyAlignment="1">
      <alignment horizontal="center" vertical="center" wrapText="1" shrinkToFit="1"/>
    </xf>
    <xf numFmtId="0" fontId="23" fillId="0" borderId="23" xfId="44" applyFont="1" applyFill="1" applyBorder="1" applyAlignment="1">
      <alignment horizontal="center" vertical="center" wrapText="1" shrinkToFit="1"/>
    </xf>
    <xf numFmtId="0" fontId="23" fillId="0" borderId="23" xfId="44" applyFont="1" applyFill="1" applyBorder="1" applyAlignment="1">
      <alignment horizontal="center" vertical="center" shrinkToFit="1"/>
    </xf>
    <xf numFmtId="0" fontId="23" fillId="0" borderId="98" xfId="44" applyFont="1" applyFill="1" applyBorder="1" applyAlignment="1">
      <alignment horizontal="center" vertical="center" shrinkToFit="1"/>
    </xf>
    <xf numFmtId="0" fontId="23" fillId="0" borderId="61" xfId="44" applyFont="1" applyFill="1" applyBorder="1" applyAlignment="1">
      <alignment horizontal="center" vertical="center" shrinkToFit="1"/>
    </xf>
    <xf numFmtId="0" fontId="23" fillId="0" borderId="15" xfId="44" applyFont="1" applyFill="1" applyBorder="1" applyAlignment="1">
      <alignment horizontal="center" vertical="center" shrinkToFit="1"/>
    </xf>
    <xf numFmtId="0" fontId="23" fillId="0" borderId="55" xfId="44" applyFont="1" applyFill="1" applyBorder="1" applyAlignment="1">
      <alignment horizontal="center" vertical="center" shrinkToFit="1"/>
    </xf>
    <xf numFmtId="0" fontId="23" fillId="0" borderId="99" xfId="44" applyFont="1" applyFill="1" applyBorder="1" applyAlignment="1">
      <alignment horizontal="center" vertical="center" shrinkToFit="1"/>
    </xf>
    <xf numFmtId="0" fontId="23" fillId="0" borderId="100" xfId="44" applyFont="1" applyFill="1" applyBorder="1" applyAlignment="1">
      <alignment horizontal="center" vertical="center" shrinkToFit="1"/>
    </xf>
    <xf numFmtId="0" fontId="23" fillId="0" borderId="38" xfId="44" applyFont="1" applyFill="1" applyBorder="1" applyAlignment="1">
      <alignment horizontal="center" vertical="center" shrinkToFit="1"/>
    </xf>
    <xf numFmtId="0" fontId="23" fillId="0" borderId="101" xfId="44" applyFont="1" applyFill="1" applyBorder="1" applyAlignment="1">
      <alignment horizontal="center" vertical="center" shrinkToFit="1"/>
    </xf>
    <xf numFmtId="0" fontId="23" fillId="0" borderId="40" xfId="44" applyFont="1" applyFill="1" applyBorder="1" applyAlignment="1">
      <alignment horizontal="center" vertical="center" shrinkToFit="1"/>
    </xf>
    <xf numFmtId="0" fontId="23" fillId="0" borderId="89" xfId="44" applyFont="1" applyFill="1" applyBorder="1" applyAlignment="1">
      <alignment horizontal="center" vertical="center" shrinkToFit="1"/>
    </xf>
    <xf numFmtId="0" fontId="23" fillId="0" borderId="0" xfId="44" applyFont="1" applyFill="1" applyBorder="1" applyAlignment="1">
      <alignment horizontal="center" wrapText="1"/>
    </xf>
    <xf numFmtId="0" fontId="35" fillId="0" borderId="0" xfId="44" applyFont="1" applyFill="1" applyAlignment="1">
      <alignment horizontal="center" vertical="center"/>
    </xf>
    <xf numFmtId="0" fontId="34" fillId="0" borderId="0" xfId="44" applyFont="1" applyFill="1" applyAlignment="1">
      <alignment horizontal="center" vertical="center"/>
    </xf>
    <xf numFmtId="0" fontId="44" fillId="0" borderId="14" xfId="44" applyFont="1" applyFill="1" applyBorder="1" applyAlignment="1">
      <alignment horizontal="center" vertical="center" shrinkToFit="1"/>
    </xf>
    <xf numFmtId="0" fontId="44" fillId="0" borderId="53" xfId="44" applyFont="1" applyFill="1" applyBorder="1" applyAlignment="1">
      <alignment horizontal="center" vertical="center" shrinkToFit="1"/>
    </xf>
    <xf numFmtId="0" fontId="43" fillId="0" borderId="89" xfId="44" applyFont="1" applyFill="1" applyBorder="1" applyAlignment="1">
      <alignment horizontal="center" vertical="center" shrinkToFit="1"/>
    </xf>
    <xf numFmtId="0" fontId="43" fillId="0" borderId="23" xfId="44" applyFont="1" applyFill="1" applyBorder="1" applyAlignment="1">
      <alignment horizontal="center" vertical="center" shrinkToFit="1"/>
    </xf>
    <xf numFmtId="0" fontId="43" fillId="0" borderId="90" xfId="44" applyFont="1" applyFill="1" applyBorder="1" applyAlignment="1">
      <alignment horizontal="center" vertical="center" shrinkToFit="1"/>
    </xf>
    <xf numFmtId="0" fontId="43" fillId="0" borderId="62" xfId="44" applyFont="1" applyFill="1" applyBorder="1" applyAlignment="1">
      <alignment horizontal="center" vertical="center" shrinkToFit="1"/>
    </xf>
    <xf numFmtId="0" fontId="43" fillId="0" borderId="91" xfId="44" applyFont="1" applyFill="1" applyBorder="1" applyAlignment="1">
      <alignment horizontal="center" vertical="center" shrinkToFit="1"/>
    </xf>
    <xf numFmtId="0" fontId="43" fillId="0" borderId="63" xfId="44" applyFont="1" applyFill="1" applyBorder="1" applyAlignment="1">
      <alignment horizontal="center" vertical="center" shrinkToFit="1"/>
    </xf>
    <xf numFmtId="0" fontId="43" fillId="0" borderId="89" xfId="44" applyFont="1" applyFill="1" applyBorder="1" applyAlignment="1">
      <alignment horizontal="center" vertical="center" wrapText="1" shrinkToFit="1"/>
    </xf>
    <xf numFmtId="0" fontId="43" fillId="0" borderId="23" xfId="44" applyFont="1" applyFill="1" applyBorder="1" applyAlignment="1">
      <alignment horizontal="center" vertical="center" wrapText="1" shrinkToFit="1"/>
    </xf>
    <xf numFmtId="0" fontId="43" fillId="0" borderId="38" xfId="44" applyFont="1" applyFill="1" applyBorder="1" applyAlignment="1">
      <alignment horizontal="center" vertical="center" shrinkToFit="1"/>
    </xf>
    <xf numFmtId="0" fontId="43" fillId="0" borderId="101" xfId="44" applyFont="1" applyFill="1" applyBorder="1" applyAlignment="1">
      <alignment horizontal="center" vertical="center" shrinkToFit="1"/>
    </xf>
    <xf numFmtId="0" fontId="43" fillId="0" borderId="40" xfId="44" applyFont="1" applyFill="1" applyBorder="1" applyAlignment="1">
      <alignment horizontal="center" vertical="center" shrinkToFit="1"/>
    </xf>
    <xf numFmtId="0" fontId="43" fillId="0" borderId="98" xfId="44" applyFont="1" applyFill="1" applyBorder="1" applyAlignment="1">
      <alignment horizontal="center" vertical="center" shrinkToFit="1"/>
    </xf>
    <xf numFmtId="0" fontId="43" fillId="0" borderId="61" xfId="44" applyFont="1" applyFill="1" applyBorder="1" applyAlignment="1">
      <alignment horizontal="center" vertical="center" shrinkToFit="1"/>
    </xf>
    <xf numFmtId="0" fontId="43" fillId="0" borderId="15" xfId="44" applyFont="1" applyFill="1" applyBorder="1" applyAlignment="1">
      <alignment horizontal="center" vertical="center" shrinkToFit="1"/>
    </xf>
    <xf numFmtId="0" fontId="43" fillId="0" borderId="55" xfId="44" applyFont="1" applyFill="1" applyBorder="1" applyAlignment="1">
      <alignment horizontal="center" vertical="center" shrinkToFit="1"/>
    </xf>
    <xf numFmtId="0" fontId="43" fillId="0" borderId="99" xfId="44" applyFont="1" applyFill="1" applyBorder="1" applyAlignment="1">
      <alignment horizontal="center" vertical="center" shrinkToFit="1"/>
    </xf>
    <xf numFmtId="0" fontId="43" fillId="0" borderId="100" xfId="44" applyFont="1" applyFill="1" applyBorder="1" applyAlignment="1">
      <alignment horizontal="center" vertical="center" shrinkToFit="1"/>
    </xf>
    <xf numFmtId="0" fontId="42" fillId="0" borderId="0" xfId="44" applyFont="1" applyFill="1" applyAlignment="1">
      <alignment horizontal="center" vertical="center"/>
    </xf>
    <xf numFmtId="0" fontId="40" fillId="0" borderId="0" xfId="44" applyFont="1" applyFill="1" applyAlignment="1">
      <alignment horizontal="center" vertical="center"/>
    </xf>
    <xf numFmtId="38" fontId="39" fillId="0" borderId="51" xfId="44" applyNumberFormat="1" applyFont="1" applyBorder="1" applyAlignment="1">
      <alignment horizontal="left" vertical="center"/>
    </xf>
    <xf numFmtId="0" fontId="38" fillId="0" borderId="0" xfId="44" applyFont="1" applyAlignment="1">
      <alignment horizontal="center" vertical="center"/>
    </xf>
    <xf numFmtId="0" fontId="43" fillId="0" borderId="0" xfId="44" applyFont="1" applyBorder="1" applyAlignment="1">
      <alignment horizontal="center" wrapText="1"/>
    </xf>
    <xf numFmtId="0" fontId="24" fillId="26" borderId="14" xfId="44" applyFont="1" applyFill="1" applyBorder="1" applyAlignment="1">
      <alignment horizontal="center" vertical="center" shrinkToFit="1"/>
    </xf>
    <xf numFmtId="0" fontId="24" fillId="26" borderId="53" xfId="44" applyFont="1" applyFill="1" applyBorder="1" applyAlignment="1">
      <alignment horizontal="center" vertical="center" shrinkToFit="1"/>
    </xf>
    <xf numFmtId="0" fontId="23" fillId="26" borderId="89" xfId="44" applyFont="1" applyFill="1" applyBorder="1" applyAlignment="1">
      <alignment horizontal="center" vertical="center" wrapText="1" shrinkToFit="1"/>
    </xf>
    <xf numFmtId="0" fontId="23" fillId="26" borderId="23" xfId="44" applyFont="1" applyFill="1" applyBorder="1" applyAlignment="1">
      <alignment horizontal="center" vertical="center" wrapText="1" shrinkToFit="1"/>
    </xf>
    <xf numFmtId="0" fontId="23" fillId="26" borderId="23" xfId="44" applyFont="1" applyFill="1" applyBorder="1" applyAlignment="1">
      <alignment horizontal="center" vertical="center" shrinkToFit="1"/>
    </xf>
    <xf numFmtId="40" fontId="7" fillId="0" borderId="0" xfId="44" applyNumberFormat="1" applyAlignment="1">
      <alignment horizontal="center" vertical="center"/>
    </xf>
    <xf numFmtId="0" fontId="7" fillId="0" borderId="0" xfId="44" applyAlignment="1">
      <alignment horizontal="center" vertical="center"/>
    </xf>
    <xf numFmtId="40" fontId="39" fillId="0" borderId="0" xfId="44" applyNumberFormat="1" applyFont="1" applyAlignment="1">
      <alignment horizontal="center" vertical="center"/>
    </xf>
    <xf numFmtId="0" fontId="39" fillId="0" borderId="0" xfId="44" applyFont="1" applyAlignment="1">
      <alignment horizontal="center" vertical="center"/>
    </xf>
    <xf numFmtId="0" fontId="23" fillId="26" borderId="104" xfId="44" applyFont="1" applyFill="1" applyBorder="1" applyAlignment="1">
      <alignment horizontal="center" vertical="center" shrinkToFit="1"/>
    </xf>
    <xf numFmtId="0" fontId="23" fillId="26" borderId="44" xfId="44" applyFont="1" applyFill="1" applyBorder="1" applyAlignment="1">
      <alignment horizontal="center" vertical="center" shrinkToFit="1"/>
    </xf>
    <xf numFmtId="0" fontId="43" fillId="0" borderId="104" xfId="44" applyFont="1" applyFill="1" applyBorder="1" applyAlignment="1">
      <alignment horizontal="center" vertical="center" shrinkToFit="1"/>
    </xf>
    <xf numFmtId="0" fontId="43" fillId="0" borderId="44" xfId="44" applyFont="1" applyFill="1" applyBorder="1" applyAlignment="1">
      <alignment horizontal="center" vertical="center" shrinkToFit="1"/>
    </xf>
    <xf numFmtId="0" fontId="23" fillId="26" borderId="89" xfId="44" applyFont="1" applyFill="1" applyBorder="1" applyAlignment="1">
      <alignment horizontal="center" vertical="center" shrinkToFit="1"/>
    </xf>
    <xf numFmtId="0" fontId="23" fillId="26" borderId="90" xfId="44" applyFont="1" applyFill="1" applyBorder="1" applyAlignment="1">
      <alignment horizontal="center" vertical="center" shrinkToFit="1"/>
    </xf>
    <xf numFmtId="0" fontId="23" fillId="26" borderId="62" xfId="44" applyFont="1" applyFill="1" applyBorder="1" applyAlignment="1">
      <alignment horizontal="center" vertical="center" shrinkToFit="1"/>
    </xf>
    <xf numFmtId="0" fontId="23" fillId="26" borderId="91" xfId="44" applyFont="1" applyFill="1" applyBorder="1" applyAlignment="1">
      <alignment horizontal="center" vertical="center" shrinkToFit="1"/>
    </xf>
    <xf numFmtId="0" fontId="23" fillId="26" borderId="63" xfId="44" applyFont="1" applyFill="1" applyBorder="1" applyAlignment="1">
      <alignment horizontal="center" vertical="center" shrinkToFit="1"/>
    </xf>
    <xf numFmtId="0" fontId="23" fillId="26" borderId="55" xfId="44" applyFont="1" applyFill="1" applyBorder="1" applyAlignment="1">
      <alignment horizontal="center" vertical="center" shrinkToFit="1"/>
    </xf>
    <xf numFmtId="0" fontId="23" fillId="26" borderId="99" xfId="44" applyFont="1" applyFill="1" applyBorder="1" applyAlignment="1">
      <alignment horizontal="center" vertical="center" shrinkToFit="1"/>
    </xf>
    <xf numFmtId="0" fontId="23" fillId="26" borderId="100" xfId="44" applyFont="1" applyFill="1" applyBorder="1" applyAlignment="1">
      <alignment horizontal="center" vertical="center" shrinkToFit="1"/>
    </xf>
    <xf numFmtId="0" fontId="23" fillId="26" borderId="38" xfId="44" applyFont="1" applyFill="1" applyBorder="1" applyAlignment="1">
      <alignment horizontal="center" vertical="center" shrinkToFit="1"/>
    </xf>
    <xf numFmtId="0" fontId="23" fillId="26" borderId="101" xfId="44" applyFont="1" applyFill="1" applyBorder="1" applyAlignment="1">
      <alignment horizontal="center" vertical="center" shrinkToFit="1"/>
    </xf>
    <xf numFmtId="0" fontId="23" fillId="26" borderId="40" xfId="44" applyFont="1" applyFill="1" applyBorder="1" applyAlignment="1">
      <alignment horizontal="center" vertical="center" shrinkToFit="1"/>
    </xf>
    <xf numFmtId="0" fontId="34" fillId="26" borderId="0" xfId="44" applyFont="1" applyFill="1" applyAlignment="1">
      <alignment horizontal="center" vertical="center"/>
    </xf>
    <xf numFmtId="38" fontId="7" fillId="26" borderId="51" xfId="44" applyNumberFormat="1" applyFont="1" applyFill="1" applyBorder="1" applyAlignment="1">
      <alignment horizontal="left" vertical="center"/>
    </xf>
    <xf numFmtId="38" fontId="39" fillId="0" borderId="51" xfId="44" applyNumberFormat="1" applyFont="1" applyFill="1" applyBorder="1" applyAlignment="1">
      <alignment horizontal="left" vertical="center"/>
    </xf>
    <xf numFmtId="0" fontId="23" fillId="26" borderId="0" xfId="44" applyFont="1" applyFill="1" applyBorder="1" applyAlignment="1">
      <alignment horizontal="center" wrapText="1"/>
    </xf>
    <xf numFmtId="0" fontId="43" fillId="0" borderId="0" xfId="44" applyFont="1" applyFill="1" applyBorder="1" applyAlignment="1">
      <alignment horizontal="center" wrapText="1"/>
    </xf>
    <xf numFmtId="0" fontId="35" fillId="26" borderId="0" xfId="44" applyFont="1" applyFill="1" applyAlignment="1">
      <alignment horizontal="center" vertical="center"/>
    </xf>
    <xf numFmtId="0" fontId="23" fillId="26" borderId="98" xfId="44" applyFont="1" applyFill="1" applyBorder="1" applyAlignment="1">
      <alignment horizontal="center" vertical="center" shrinkToFit="1"/>
    </xf>
    <xf numFmtId="0" fontId="23" fillId="26" borderId="61" xfId="44" applyFont="1" applyFill="1" applyBorder="1" applyAlignment="1">
      <alignment horizontal="center" vertical="center" shrinkToFit="1"/>
    </xf>
    <xf numFmtId="0" fontId="23" fillId="26" borderId="15" xfId="44" applyFont="1" applyFill="1" applyBorder="1" applyAlignment="1">
      <alignment horizontal="center" vertical="center" shrinkToFit="1"/>
    </xf>
    <xf numFmtId="40" fontId="39" fillId="0" borderId="22" xfId="34" applyNumberFormat="1" applyFont="1" applyBorder="1" applyAlignment="1">
      <alignment vertical="center" shrinkToFit="1"/>
    </xf>
    <xf numFmtId="40" fontId="39" fillId="0" borderId="23" xfId="34" applyNumberFormat="1" applyFont="1" applyBorder="1" applyAlignment="1">
      <alignment vertical="center" shrinkToFit="1"/>
    </xf>
    <xf numFmtId="40" fontId="39" fillId="0" borderId="13" xfId="34" applyNumberFormat="1" applyFont="1" applyBorder="1" applyAlignment="1">
      <alignment vertical="center" shrinkToFit="1"/>
    </xf>
    <xf numFmtId="40" fontId="39" fillId="24" borderId="61" xfId="34" applyNumberFormat="1" applyFont="1" applyFill="1" applyBorder="1" applyAlignment="1">
      <alignment horizontal="right" vertical="center" shrinkToFit="1"/>
    </xf>
    <xf numFmtId="40" fontId="39" fillId="24" borderId="15" xfId="34" applyNumberFormat="1" applyFont="1" applyFill="1" applyBorder="1" applyAlignment="1">
      <alignment horizontal="right" vertical="center" shrinkToFit="1"/>
    </xf>
    <xf numFmtId="38" fontId="44" fillId="24" borderId="23" xfId="34" applyFont="1" applyFill="1" applyBorder="1" applyAlignment="1">
      <alignment horizontal="center" vertical="center" shrinkToFit="1"/>
    </xf>
    <xf numFmtId="40" fontId="44" fillId="0" borderId="23" xfId="34" applyNumberFormat="1" applyFont="1" applyBorder="1" applyAlignment="1">
      <alignment horizontal="right" vertical="center" shrinkToFit="1"/>
    </xf>
    <xf numFmtId="38" fontId="44" fillId="0" borderId="23" xfId="34" applyFont="1" applyBorder="1" applyAlignment="1">
      <alignment horizontal="center" vertical="center" shrinkToFit="1"/>
    </xf>
    <xf numFmtId="40" fontId="39" fillId="0" borderId="23" xfId="34" applyNumberFormat="1" applyFont="1" applyBorder="1" applyAlignment="1">
      <alignment horizontal="right" vertical="center" shrinkToFit="1"/>
    </xf>
    <xf numFmtId="38" fontId="40" fillId="24" borderId="23" xfId="34" applyFont="1" applyFill="1" applyBorder="1" applyAlignment="1">
      <alignment horizontal="center" vertical="center" shrinkToFit="1"/>
    </xf>
    <xf numFmtId="40" fontId="40" fillId="0" borderId="23" xfId="34" applyNumberFormat="1" applyFont="1" applyFill="1" applyBorder="1" applyAlignment="1">
      <alignment horizontal="right" vertical="center" shrinkToFit="1"/>
    </xf>
    <xf numFmtId="38" fontId="40" fillId="0" borderId="89" xfId="34" applyNumberFormat="1" applyFont="1" applyFill="1" applyBorder="1" applyAlignment="1">
      <alignment horizontal="center" vertical="center" shrinkToFit="1"/>
    </xf>
    <xf numFmtId="38" fontId="40" fillId="0" borderId="23" xfId="34" applyNumberFormat="1" applyFont="1" applyFill="1" applyBorder="1" applyAlignment="1">
      <alignment horizontal="center" vertical="center" shrinkToFit="1"/>
    </xf>
    <xf numFmtId="38" fontId="40" fillId="0" borderId="13" xfId="34" applyNumberFormat="1" applyFont="1" applyFill="1" applyBorder="1" applyAlignment="1">
      <alignment horizontal="center" vertical="center" shrinkToFit="1"/>
    </xf>
    <xf numFmtId="40" fontId="39" fillId="0" borderId="89" xfId="34" applyNumberFormat="1" applyFont="1" applyBorder="1" applyAlignment="1">
      <alignment vertical="center" shrinkToFit="1"/>
    </xf>
    <xf numFmtId="40" fontId="39" fillId="24" borderId="98" xfId="34" applyNumberFormat="1" applyFont="1" applyFill="1" applyBorder="1" applyAlignment="1">
      <alignment horizontal="right" vertical="center" shrinkToFit="1"/>
    </xf>
    <xf numFmtId="40" fontId="7" fillId="0" borderId="61" xfId="34" applyNumberFormat="1" applyFont="1" applyFill="1" applyBorder="1" applyAlignment="1">
      <alignment horizontal="right" vertical="center" shrinkToFit="1"/>
    </xf>
    <xf numFmtId="40" fontId="7" fillId="0" borderId="22" xfId="34" applyNumberFormat="1" applyFont="1" applyFill="1" applyBorder="1" applyAlignment="1">
      <alignment vertical="center" shrinkToFit="1"/>
    </xf>
    <xf numFmtId="40" fontId="7" fillId="0" borderId="23" xfId="34" applyNumberFormat="1" applyFont="1" applyFill="1" applyBorder="1" applyAlignment="1">
      <alignment vertical="center" shrinkToFit="1"/>
    </xf>
    <xf numFmtId="40" fontId="7" fillId="0" borderId="13" xfId="34" applyNumberFormat="1" applyFont="1" applyFill="1" applyBorder="1" applyAlignment="1">
      <alignment vertical="center" shrinkToFit="1"/>
    </xf>
    <xf numFmtId="0" fontId="43" fillId="26" borderId="23" xfId="44" applyFont="1" applyFill="1" applyBorder="1" applyAlignment="1">
      <alignment horizontal="center" vertical="center" shrinkToFit="1"/>
    </xf>
    <xf numFmtId="0" fontId="44" fillId="26" borderId="14" xfId="44" applyFont="1" applyFill="1" applyBorder="1" applyAlignment="1">
      <alignment horizontal="center" vertical="center" shrinkToFit="1"/>
    </xf>
    <xf numFmtId="0" fontId="44" fillId="26" borderId="53" xfId="44" applyFont="1" applyFill="1" applyBorder="1" applyAlignment="1">
      <alignment horizontal="center" vertical="center" shrinkToFit="1"/>
    </xf>
    <xf numFmtId="0" fontId="42" fillId="26" borderId="0" xfId="44" applyFont="1" applyFill="1" applyAlignment="1">
      <alignment horizontal="center" vertical="center"/>
    </xf>
    <xf numFmtId="0" fontId="40" fillId="26" borderId="0" xfId="44" applyFont="1" applyFill="1" applyAlignment="1">
      <alignment horizontal="center" vertical="center"/>
    </xf>
    <xf numFmtId="0" fontId="43" fillId="26" borderId="98" xfId="44" applyFont="1" applyFill="1" applyBorder="1" applyAlignment="1">
      <alignment horizontal="center" vertical="center" shrinkToFit="1"/>
    </xf>
    <xf numFmtId="0" fontId="43" fillId="26" borderId="61" xfId="44" applyFont="1" applyFill="1" applyBorder="1" applyAlignment="1">
      <alignment horizontal="center" vertical="center" shrinkToFit="1"/>
    </xf>
    <xf numFmtId="0" fontId="43" fillId="26" borderId="15" xfId="44" applyFont="1" applyFill="1" applyBorder="1" applyAlignment="1">
      <alignment horizontal="center" vertical="center" shrinkToFit="1"/>
    </xf>
    <xf numFmtId="0" fontId="43" fillId="26" borderId="55" xfId="44" applyFont="1" applyFill="1" applyBorder="1" applyAlignment="1">
      <alignment horizontal="center" vertical="center" shrinkToFit="1"/>
    </xf>
    <xf numFmtId="0" fontId="43" fillId="26" borderId="99" xfId="44" applyFont="1" applyFill="1" applyBorder="1" applyAlignment="1">
      <alignment horizontal="center" vertical="center" shrinkToFit="1"/>
    </xf>
    <xf numFmtId="0" fontId="43" fillId="26" borderId="100" xfId="44" applyFont="1" applyFill="1" applyBorder="1" applyAlignment="1">
      <alignment horizontal="center" vertical="center" shrinkToFit="1"/>
    </xf>
    <xf numFmtId="0" fontId="43" fillId="26" borderId="38" xfId="44" applyFont="1" applyFill="1" applyBorder="1" applyAlignment="1">
      <alignment horizontal="center" vertical="center" shrinkToFit="1"/>
    </xf>
    <xf numFmtId="0" fontId="43" fillId="26" borderId="101" xfId="44" applyFont="1" applyFill="1" applyBorder="1" applyAlignment="1">
      <alignment horizontal="center" vertical="center" shrinkToFit="1"/>
    </xf>
    <xf numFmtId="0" fontId="43" fillId="26" borderId="40" xfId="44" applyFont="1" applyFill="1" applyBorder="1" applyAlignment="1">
      <alignment horizontal="center" vertical="center" shrinkToFit="1"/>
    </xf>
    <xf numFmtId="0" fontId="43" fillId="26" borderId="89" xfId="44" applyFont="1" applyFill="1" applyBorder="1" applyAlignment="1">
      <alignment horizontal="center" vertical="center" wrapText="1" shrinkToFit="1"/>
    </xf>
    <xf numFmtId="0" fontId="43" fillId="26" borderId="23" xfId="44" applyFont="1" applyFill="1" applyBorder="1" applyAlignment="1">
      <alignment horizontal="center" vertical="center" wrapText="1" shrinkToFit="1"/>
    </xf>
    <xf numFmtId="0" fontId="43" fillId="26" borderId="90" xfId="44" applyFont="1" applyFill="1" applyBorder="1" applyAlignment="1">
      <alignment horizontal="center" vertical="center" shrinkToFit="1"/>
    </xf>
    <xf numFmtId="0" fontId="43" fillId="26" borderId="62" xfId="44" applyFont="1" applyFill="1" applyBorder="1" applyAlignment="1">
      <alignment horizontal="center" vertical="center" shrinkToFit="1"/>
    </xf>
    <xf numFmtId="0" fontId="43" fillId="26" borderId="91" xfId="44" applyFont="1" applyFill="1" applyBorder="1" applyAlignment="1">
      <alignment horizontal="center" vertical="center" shrinkToFit="1"/>
    </xf>
    <xf numFmtId="0" fontId="43" fillId="26" borderId="63" xfId="44" applyFont="1" applyFill="1" applyBorder="1" applyAlignment="1">
      <alignment horizontal="center" vertical="center" shrinkToFit="1"/>
    </xf>
    <xf numFmtId="0" fontId="43" fillId="26" borderId="89" xfId="44" applyFont="1" applyFill="1" applyBorder="1" applyAlignment="1">
      <alignment horizontal="center" vertical="center" shrinkToFit="1"/>
    </xf>
    <xf numFmtId="40" fontId="39" fillId="26" borderId="22" xfId="34" applyNumberFormat="1" applyFont="1" applyFill="1" applyBorder="1" applyAlignment="1">
      <alignment vertical="center" shrinkToFit="1"/>
    </xf>
    <xf numFmtId="40" fontId="39" fillId="26" borderId="23" xfId="34" applyNumberFormat="1" applyFont="1" applyFill="1" applyBorder="1" applyAlignment="1">
      <alignment vertical="center" shrinkToFit="1"/>
    </xf>
    <xf numFmtId="40" fontId="39" fillId="26" borderId="13" xfId="34" applyNumberFormat="1" applyFont="1" applyFill="1" applyBorder="1" applyAlignment="1">
      <alignment vertical="center" shrinkToFit="1"/>
    </xf>
    <xf numFmtId="40" fontId="39" fillId="26" borderId="61" xfId="34" applyNumberFormat="1" applyFont="1" applyFill="1" applyBorder="1" applyAlignment="1">
      <alignment horizontal="right" vertical="center" shrinkToFit="1"/>
    </xf>
    <xf numFmtId="40" fontId="39" fillId="26" borderId="15" xfId="34" applyNumberFormat="1" applyFont="1" applyFill="1" applyBorder="1" applyAlignment="1">
      <alignment horizontal="right" vertical="center" shrinkToFit="1"/>
    </xf>
    <xf numFmtId="0" fontId="39" fillId="26" borderId="22" xfId="44" applyFont="1" applyFill="1" applyBorder="1" applyAlignment="1">
      <alignment horizontal="center" vertical="center" shrinkToFit="1"/>
    </xf>
    <xf numFmtId="0" fontId="39" fillId="26" borderId="23" xfId="44" applyFont="1" applyFill="1" applyBorder="1" applyAlignment="1">
      <alignment horizontal="center" vertical="center" shrinkToFit="1"/>
    </xf>
    <xf numFmtId="0" fontId="39" fillId="26" borderId="13" xfId="44" applyFont="1" applyFill="1" applyBorder="1" applyAlignment="1">
      <alignment horizontal="center" vertical="center" shrinkToFit="1"/>
    </xf>
    <xf numFmtId="38" fontId="44" fillId="26" borderId="22" xfId="34" applyFont="1" applyFill="1" applyBorder="1" applyAlignment="1">
      <alignment horizontal="center" vertical="center" shrinkToFit="1"/>
    </xf>
    <xf numFmtId="38" fontId="44" fillId="26" borderId="23" xfId="34" applyFont="1" applyFill="1" applyBorder="1" applyAlignment="1">
      <alignment horizontal="center" vertical="center" shrinkToFit="1"/>
    </xf>
    <xf numFmtId="38" fontId="44" fillId="26" borderId="13" xfId="34" applyFont="1" applyFill="1" applyBorder="1" applyAlignment="1">
      <alignment horizontal="center" vertical="center" shrinkToFit="1"/>
    </xf>
    <xf numFmtId="40" fontId="44" fillId="26" borderId="22" xfId="34" applyNumberFormat="1" applyFont="1" applyFill="1" applyBorder="1" applyAlignment="1">
      <alignment horizontal="right" vertical="center" shrinkToFit="1"/>
    </xf>
    <xf numFmtId="40" fontId="44" fillId="26" borderId="23" xfId="34" applyNumberFormat="1" applyFont="1" applyFill="1" applyBorder="1" applyAlignment="1">
      <alignment horizontal="right" vertical="center" shrinkToFit="1"/>
    </xf>
    <xf numFmtId="40" fontId="44" fillId="26" borderId="13" xfId="34" applyNumberFormat="1" applyFont="1" applyFill="1" applyBorder="1" applyAlignment="1">
      <alignment horizontal="right" vertical="center" shrinkToFit="1"/>
    </xf>
    <xf numFmtId="40" fontId="39" fillId="26" borderId="22" xfId="34" applyNumberFormat="1" applyFont="1" applyFill="1" applyBorder="1" applyAlignment="1">
      <alignment horizontal="right" vertical="center" shrinkToFit="1"/>
    </xf>
    <xf numFmtId="40" fontId="39" fillId="26" borderId="23" xfId="34" applyNumberFormat="1" applyFont="1" applyFill="1" applyBorder="1" applyAlignment="1">
      <alignment horizontal="right" vertical="center" shrinkToFit="1"/>
    </xf>
    <xf numFmtId="40" fontId="39" fillId="26" borderId="13" xfId="34" applyNumberFormat="1" applyFont="1" applyFill="1" applyBorder="1" applyAlignment="1">
      <alignment horizontal="right" vertical="center" shrinkToFit="1"/>
    </xf>
    <xf numFmtId="38" fontId="40" fillId="26" borderId="89" xfId="34" applyFont="1" applyFill="1" applyBorder="1" applyAlignment="1">
      <alignment horizontal="center" vertical="center" shrinkToFit="1"/>
    </xf>
    <xf numFmtId="38" fontId="40" fillId="26" borderId="23" xfId="34" applyFont="1" applyFill="1" applyBorder="1" applyAlignment="1">
      <alignment horizontal="center" vertical="center" shrinkToFit="1"/>
    </xf>
    <xf numFmtId="38" fontId="40" fillId="26" borderId="13" xfId="34" applyFont="1" applyFill="1" applyBorder="1" applyAlignment="1">
      <alignment horizontal="center" vertical="center" shrinkToFit="1"/>
    </xf>
    <xf numFmtId="40" fontId="40" fillId="26" borderId="89" xfId="34" applyNumberFormat="1" applyFont="1" applyFill="1" applyBorder="1" applyAlignment="1">
      <alignment horizontal="right" vertical="center" shrinkToFit="1"/>
    </xf>
    <xf numFmtId="40" fontId="40" fillId="26" borderId="23" xfId="34" applyNumberFormat="1" applyFont="1" applyFill="1" applyBorder="1" applyAlignment="1">
      <alignment horizontal="right" vertical="center" shrinkToFit="1"/>
    </xf>
    <xf numFmtId="40" fontId="40" fillId="26" borderId="13" xfId="34" applyNumberFormat="1" applyFont="1" applyFill="1" applyBorder="1" applyAlignment="1">
      <alignment horizontal="right" vertical="center" shrinkToFit="1"/>
    </xf>
    <xf numFmtId="38" fontId="40" fillId="26" borderId="89" xfId="34" applyNumberFormat="1" applyFont="1" applyFill="1" applyBorder="1" applyAlignment="1">
      <alignment horizontal="center" vertical="center" shrinkToFit="1"/>
    </xf>
    <xf numFmtId="38" fontId="40" fillId="26" borderId="23" xfId="34" applyNumberFormat="1" applyFont="1" applyFill="1" applyBorder="1" applyAlignment="1">
      <alignment horizontal="center" vertical="center" shrinkToFit="1"/>
    </xf>
    <xf numFmtId="38" fontId="40" fillId="26" borderId="13" xfId="34" applyNumberFormat="1" applyFont="1" applyFill="1" applyBorder="1" applyAlignment="1">
      <alignment horizontal="center" vertical="center" shrinkToFit="1"/>
    </xf>
    <xf numFmtId="40" fontId="39" fillId="26" borderId="89" xfId="34" applyNumberFormat="1" applyFont="1" applyFill="1" applyBorder="1" applyAlignment="1">
      <alignment vertical="center" shrinkToFit="1"/>
    </xf>
    <xf numFmtId="40" fontId="39" fillId="26" borderId="98" xfId="34" applyNumberFormat="1" applyFont="1" applyFill="1" applyBorder="1" applyAlignment="1">
      <alignment horizontal="right" vertical="center" shrinkToFit="1"/>
    </xf>
    <xf numFmtId="0" fontId="26" fillId="26" borderId="0" xfId="44" applyFont="1" applyFill="1" applyAlignment="1">
      <alignment horizontal="center" vertical="center"/>
    </xf>
    <xf numFmtId="40" fontId="1" fillId="0" borderId="89" xfId="34" applyNumberFormat="1" applyFont="1" applyFill="1" applyBorder="1" applyAlignment="1">
      <alignment horizontal="right" vertical="center" shrinkToFit="1"/>
    </xf>
    <xf numFmtId="40" fontId="1" fillId="0" borderId="23" xfId="34" applyNumberFormat="1" applyFont="1" applyFill="1" applyBorder="1" applyAlignment="1">
      <alignment horizontal="right" vertical="center" shrinkToFit="1"/>
    </xf>
    <xf numFmtId="40" fontId="1" fillId="0" borderId="13" xfId="34" applyNumberFormat="1" applyFont="1" applyFill="1" applyBorder="1" applyAlignment="1">
      <alignment horizontal="right" vertical="center" shrinkToFit="1"/>
    </xf>
    <xf numFmtId="38" fontId="1" fillId="0" borderId="89" xfId="34" applyNumberFormat="1" applyFont="1" applyFill="1" applyBorder="1" applyAlignment="1">
      <alignment horizontal="center" vertical="center" shrinkToFit="1"/>
    </xf>
    <xf numFmtId="38" fontId="1" fillId="0" borderId="23" xfId="34" applyNumberFormat="1" applyFont="1" applyFill="1" applyBorder="1" applyAlignment="1">
      <alignment horizontal="center" vertical="center" shrinkToFit="1"/>
    </xf>
    <xf numFmtId="38" fontId="1" fillId="0" borderId="13" xfId="34" applyNumberFormat="1" applyFont="1" applyFill="1" applyBorder="1" applyAlignment="1">
      <alignment horizontal="center" vertical="center" shrinkToFit="1"/>
    </xf>
    <xf numFmtId="40" fontId="7" fillId="0" borderId="89" xfId="34" applyNumberFormat="1" applyFont="1" applyFill="1" applyBorder="1" applyAlignment="1">
      <alignment vertical="center" shrinkToFit="1"/>
    </xf>
    <xf numFmtId="0" fontId="7" fillId="0" borderId="22" xfId="44" applyFont="1" applyFill="1" applyBorder="1" applyAlignment="1">
      <alignment horizontal="center" vertical="center" shrinkToFit="1"/>
    </xf>
    <xf numFmtId="0" fontId="7" fillId="0" borderId="23" xfId="44" applyFont="1" applyFill="1" applyBorder="1" applyAlignment="1">
      <alignment horizontal="center" vertical="center" shrinkToFit="1"/>
    </xf>
    <xf numFmtId="0" fontId="7" fillId="0" borderId="13" xfId="44" applyFont="1" applyFill="1" applyBorder="1" applyAlignment="1">
      <alignment horizontal="center" vertical="center" shrinkToFit="1"/>
    </xf>
    <xf numFmtId="38" fontId="24" fillId="0" borderId="23" xfId="34" applyFont="1" applyFill="1" applyBorder="1" applyAlignment="1">
      <alignment horizontal="center" vertical="center" shrinkToFit="1"/>
    </xf>
    <xf numFmtId="40" fontId="24" fillId="0" borderId="22" xfId="34" applyNumberFormat="1" applyFont="1" applyFill="1" applyBorder="1" applyAlignment="1">
      <alignment horizontal="right" vertical="center" shrinkToFit="1"/>
    </xf>
    <xf numFmtId="40" fontId="24" fillId="0" borderId="23" xfId="34" applyNumberFormat="1" applyFont="1" applyFill="1" applyBorder="1" applyAlignment="1">
      <alignment horizontal="right" vertical="center" shrinkToFit="1"/>
    </xf>
    <xf numFmtId="40" fontId="24" fillId="0" borderId="13" xfId="34" applyNumberFormat="1" applyFont="1" applyFill="1" applyBorder="1" applyAlignment="1">
      <alignment horizontal="right" vertical="center" shrinkToFit="1"/>
    </xf>
    <xf numFmtId="40" fontId="7" fillId="0" borderId="98" xfId="34" applyNumberFormat="1" applyFont="1" applyFill="1" applyBorder="1" applyAlignment="1">
      <alignment horizontal="right" vertical="center" shrinkToFit="1"/>
    </xf>
    <xf numFmtId="38" fontId="1" fillId="0" borderId="23" xfId="34" applyFont="1" applyFill="1" applyBorder="1" applyAlignment="1">
      <alignment horizontal="center" vertical="center" shrinkToFit="1"/>
    </xf>
    <xf numFmtId="40" fontId="7" fillId="0" borderId="23" xfId="34" applyNumberFormat="1" applyFont="1" applyFill="1" applyBorder="1" applyAlignment="1">
      <alignment horizontal="right" vertical="center" shrinkToFit="1"/>
    </xf>
    <xf numFmtId="40" fontId="7" fillId="0" borderId="15" xfId="34" applyNumberFormat="1" applyFont="1" applyFill="1" applyBorder="1" applyAlignment="1">
      <alignment horizontal="right" vertical="center" shrinkToFit="1"/>
    </xf>
    <xf numFmtId="40" fontId="7" fillId="26" borderId="22" xfId="34" applyNumberFormat="1" applyFont="1" applyFill="1" applyBorder="1" applyAlignment="1">
      <alignment horizontal="right" vertical="center" shrinkToFit="1"/>
    </xf>
    <xf numFmtId="40" fontId="7" fillId="26" borderId="13" xfId="34" applyNumberFormat="1" applyFont="1" applyFill="1" applyBorder="1" applyAlignment="1">
      <alignment horizontal="right" vertical="center" shrinkToFit="1"/>
    </xf>
    <xf numFmtId="0" fontId="7" fillId="26" borderId="23" xfId="44" applyFont="1" applyFill="1" applyBorder="1" applyAlignment="1">
      <alignment horizontal="center" vertical="center" shrinkToFit="1"/>
    </xf>
    <xf numFmtId="0" fontId="7" fillId="26" borderId="13" xfId="44" applyFont="1" applyFill="1" applyBorder="1" applyAlignment="1">
      <alignment horizontal="center" vertical="center" shrinkToFit="1"/>
    </xf>
    <xf numFmtId="38" fontId="1" fillId="26" borderId="89" xfId="34" applyFont="1" applyFill="1" applyBorder="1" applyAlignment="1">
      <alignment horizontal="center" vertical="center" shrinkToFit="1"/>
    </xf>
    <xf numFmtId="38" fontId="1" fillId="26" borderId="13" xfId="34" applyFont="1" applyFill="1" applyBorder="1" applyAlignment="1">
      <alignment horizontal="center" vertical="center" shrinkToFit="1"/>
    </xf>
    <xf numFmtId="0" fontId="7" fillId="26" borderId="22" xfId="44" applyFont="1" applyFill="1" applyBorder="1" applyAlignment="1">
      <alignment horizontal="center" vertical="center" shrinkToFit="1"/>
    </xf>
    <xf numFmtId="38" fontId="24" fillId="26" borderId="22" xfId="34" applyFont="1" applyFill="1" applyBorder="1" applyAlignment="1">
      <alignment horizontal="center" vertical="center" shrinkToFit="1"/>
    </xf>
    <xf numFmtId="38" fontId="24" fillId="26" borderId="13" xfId="34" applyFont="1" applyFill="1" applyBorder="1" applyAlignment="1">
      <alignment horizontal="center" vertical="center" shrinkToFit="1"/>
    </xf>
    <xf numFmtId="40" fontId="24" fillId="26" borderId="22" xfId="34" applyNumberFormat="1" applyFont="1" applyFill="1" applyBorder="1" applyAlignment="1">
      <alignment horizontal="right" vertical="center" shrinkToFit="1"/>
    </xf>
    <xf numFmtId="40" fontId="24" fillId="26" borderId="13" xfId="34" applyNumberFormat="1" applyFont="1" applyFill="1" applyBorder="1" applyAlignment="1">
      <alignment horizontal="right" vertical="center" shrinkToFit="1"/>
    </xf>
    <xf numFmtId="40" fontId="1" fillId="26" borderId="89" xfId="34" applyNumberFormat="1" applyFont="1" applyFill="1" applyBorder="1" applyAlignment="1">
      <alignment horizontal="right" vertical="center" shrinkToFit="1"/>
    </xf>
    <xf numFmtId="40" fontId="1" fillId="26" borderId="13" xfId="34" applyNumberFormat="1" applyFont="1" applyFill="1" applyBorder="1" applyAlignment="1">
      <alignment horizontal="right" vertical="center" shrinkToFit="1"/>
    </xf>
    <xf numFmtId="40" fontId="7" fillId="26" borderId="89" xfId="34" applyNumberFormat="1" applyFont="1" applyFill="1" applyBorder="1" applyAlignment="1">
      <alignment horizontal="right" vertical="center" shrinkToFit="1"/>
    </xf>
    <xf numFmtId="40" fontId="24" fillId="26" borderId="50" xfId="34" applyNumberFormat="1" applyFont="1" applyFill="1" applyBorder="1" applyAlignment="1">
      <alignment horizontal="right" vertical="center" shrinkToFit="1"/>
    </xf>
    <xf numFmtId="38" fontId="24" fillId="26" borderId="50" xfId="34" applyFont="1" applyFill="1" applyBorder="1" applyAlignment="1">
      <alignment horizontal="center" vertical="center" shrinkToFit="1"/>
    </xf>
    <xf numFmtId="40" fontId="7" fillId="26" borderId="50" xfId="34" applyNumberFormat="1" applyFont="1" applyFill="1" applyBorder="1" applyAlignment="1">
      <alignment horizontal="right" vertical="center" shrinkToFit="1"/>
    </xf>
    <xf numFmtId="0" fontId="23" fillId="26" borderId="102" xfId="44" applyFont="1" applyFill="1" applyBorder="1" applyAlignment="1">
      <alignment horizontal="center" vertical="center" shrinkToFit="1"/>
    </xf>
    <xf numFmtId="0" fontId="23" fillId="26" borderId="103" xfId="44" applyFont="1" applyFill="1" applyBorder="1" applyAlignment="1">
      <alignment horizontal="center" vertical="center" shrinkToFit="1"/>
    </xf>
    <xf numFmtId="0" fontId="7" fillId="26" borderId="89" xfId="44" applyFont="1" applyFill="1" applyBorder="1" applyAlignment="1">
      <alignment horizontal="center" vertical="center" shrinkToFit="1"/>
    </xf>
    <xf numFmtId="0" fontId="7" fillId="26" borderId="13" xfId="0" applyFont="1" applyFill="1" applyBorder="1" applyAlignment="1">
      <alignment horizontal="center" vertical="center" shrinkToFit="1"/>
    </xf>
    <xf numFmtId="0" fontId="7" fillId="26" borderId="50" xfId="0" applyFont="1" applyFill="1" applyBorder="1" applyAlignment="1">
      <alignment horizontal="center" vertical="center" shrinkToFit="1"/>
    </xf>
    <xf numFmtId="40" fontId="26" fillId="0" borderId="22" xfId="34" applyNumberFormat="1" applyFont="1" applyFill="1" applyBorder="1" applyAlignment="1">
      <alignment horizontal="right" vertical="center" shrinkToFit="1"/>
    </xf>
    <xf numFmtId="40" fontId="26" fillId="0" borderId="13" xfId="34" applyNumberFormat="1" applyFont="1" applyFill="1" applyBorder="1" applyAlignment="1">
      <alignment horizontal="right" vertical="center" shrinkToFit="1"/>
    </xf>
    <xf numFmtId="38" fontId="26" fillId="0" borderId="22" xfId="34" applyNumberFormat="1" applyFont="1" applyFill="1" applyBorder="1" applyAlignment="1">
      <alignment horizontal="center" vertical="center" shrinkToFit="1"/>
    </xf>
    <xf numFmtId="38" fontId="26" fillId="0" borderId="13" xfId="34" applyNumberFormat="1" applyFont="1" applyFill="1" applyBorder="1" applyAlignment="1">
      <alignment horizontal="center" vertical="center" shrinkToFit="1"/>
    </xf>
    <xf numFmtId="40" fontId="26" fillId="0" borderId="22" xfId="34" applyNumberFormat="1" applyFont="1" applyBorder="1" applyAlignment="1">
      <alignment horizontal="right" vertical="center" shrinkToFit="1"/>
    </xf>
    <xf numFmtId="40" fontId="26" fillId="0" borderId="13" xfId="34" applyNumberFormat="1" applyFont="1" applyBorder="1" applyAlignment="1">
      <alignment horizontal="right" vertical="center" shrinkToFit="1"/>
    </xf>
    <xf numFmtId="40" fontId="26" fillId="24" borderId="22" xfId="34" applyNumberFormat="1" applyFont="1" applyFill="1" applyBorder="1" applyAlignment="1">
      <alignment horizontal="right" vertical="center" shrinkToFit="1"/>
    </xf>
    <xf numFmtId="40" fontId="26" fillId="24" borderId="13" xfId="34" applyNumberFormat="1" applyFont="1" applyFill="1" applyBorder="1" applyAlignment="1">
      <alignment horizontal="right" vertical="center" shrinkToFit="1"/>
    </xf>
    <xf numFmtId="40" fontId="26" fillId="24" borderId="61" xfId="34" applyNumberFormat="1" applyFont="1" applyFill="1" applyBorder="1" applyAlignment="1">
      <alignment horizontal="right" vertical="center" shrinkToFit="1"/>
    </xf>
    <xf numFmtId="40" fontId="26" fillId="0" borderId="91" xfId="34" applyNumberFormat="1" applyFont="1" applyBorder="1" applyAlignment="1">
      <alignment horizontal="right" vertical="center" shrinkToFit="1"/>
    </xf>
    <xf numFmtId="40" fontId="26" fillId="0" borderId="14" xfId="34" applyNumberFormat="1" applyFont="1" applyBorder="1" applyAlignment="1">
      <alignment horizontal="right" vertical="center" shrinkToFit="1"/>
    </xf>
    <xf numFmtId="40" fontId="26" fillId="24" borderId="23" xfId="34" applyNumberFormat="1" applyFont="1" applyFill="1" applyBorder="1" applyAlignment="1">
      <alignment horizontal="right" vertical="center" shrinkToFit="1"/>
    </xf>
    <xf numFmtId="38" fontId="26" fillId="0" borderId="23" xfId="34" applyNumberFormat="1" applyFont="1" applyFill="1" applyBorder="1" applyAlignment="1">
      <alignment horizontal="center" vertical="center" shrinkToFit="1"/>
    </xf>
    <xf numFmtId="40" fontId="26" fillId="0" borderId="23" xfId="34" applyNumberFormat="1" applyFont="1" applyBorder="1" applyAlignment="1">
      <alignment horizontal="right" vertical="center" shrinkToFit="1"/>
    </xf>
    <xf numFmtId="38" fontId="32" fillId="0" borderId="34" xfId="44" applyNumberFormat="1" applyFont="1" applyBorder="1" applyAlignment="1">
      <alignment horizontal="left" vertical="center" indent="1" shrinkToFit="1"/>
    </xf>
    <xf numFmtId="0" fontId="32" fillId="0" borderId="34" xfId="44" applyFont="1" applyBorder="1" applyAlignment="1">
      <alignment horizontal="left" vertical="center" indent="1" shrinkToFit="1"/>
    </xf>
    <xf numFmtId="38" fontId="32" fillId="24" borderId="34" xfId="44" applyNumberFormat="1" applyFont="1" applyFill="1" applyBorder="1" applyAlignment="1">
      <alignment horizontal="center" vertical="center" shrinkToFit="1"/>
    </xf>
    <xf numFmtId="0" fontId="32" fillId="24" borderId="34" xfId="44" applyFont="1" applyFill="1" applyBorder="1" applyAlignment="1">
      <alignment horizontal="center" vertical="center" shrinkToFit="1"/>
    </xf>
    <xf numFmtId="40" fontId="27" fillId="0" borderId="0" xfId="34" applyNumberFormat="1" applyFont="1" applyAlignment="1">
      <alignment horizontal="center" vertical="center"/>
    </xf>
    <xf numFmtId="40" fontId="29" fillId="25" borderId="0" xfId="34" applyNumberFormat="1" applyFont="1" applyFill="1" applyAlignment="1">
      <alignment horizontal="center" vertical="center"/>
    </xf>
    <xf numFmtId="0" fontId="22" fillId="0" borderId="38" xfId="44" applyFont="1" applyBorder="1" applyAlignment="1">
      <alignment horizontal="center" vertical="center" shrinkToFit="1"/>
    </xf>
    <xf numFmtId="0" fontId="22" fillId="0" borderId="40" xfId="44" applyFont="1" applyBorder="1" applyAlignment="1">
      <alignment horizontal="center" vertical="center" shrinkToFit="1"/>
    </xf>
    <xf numFmtId="0" fontId="26" fillId="0" borderId="41" xfId="44" applyFont="1" applyBorder="1" applyAlignment="1">
      <alignment horizontal="center" vertical="center"/>
    </xf>
    <xf numFmtId="0" fontId="26" fillId="0" borderId="52" xfId="44" applyFont="1" applyBorder="1" applyAlignment="1">
      <alignment horizontal="center" vertical="center"/>
    </xf>
    <xf numFmtId="0" fontId="0" fillId="0" borderId="23" xfId="0" applyBorder="1" applyAlignment="1">
      <alignment vertical="center" shrinkToFit="1"/>
    </xf>
    <xf numFmtId="0" fontId="0" fillId="0" borderId="13" xfId="0" applyBorder="1" applyAlignment="1">
      <alignment vertical="center" shrinkToFit="1"/>
    </xf>
    <xf numFmtId="0" fontId="0" fillId="0" borderId="23" xfId="0" applyBorder="1" applyAlignment="1">
      <alignment horizontal="right" vertical="center" shrinkToFit="1"/>
    </xf>
    <xf numFmtId="0" fontId="0" fillId="0" borderId="13" xfId="0" applyBorder="1" applyAlignment="1">
      <alignment horizontal="right" vertical="center" shrinkToFit="1"/>
    </xf>
    <xf numFmtId="0" fontId="26" fillId="0" borderId="25" xfId="44" applyFont="1" applyBorder="1" applyAlignment="1">
      <alignment horizontal="center" vertical="center"/>
    </xf>
    <xf numFmtId="38" fontId="32" fillId="0" borderId="88" xfId="44" applyNumberFormat="1" applyFont="1" applyBorder="1" applyAlignment="1">
      <alignment horizontal="left" vertical="center" indent="1" shrinkToFit="1"/>
    </xf>
    <xf numFmtId="38" fontId="32" fillId="0" borderId="105" xfId="44" applyNumberFormat="1" applyFont="1" applyBorder="1" applyAlignment="1">
      <alignment horizontal="left" vertical="center" indent="1" shrinkToFit="1"/>
    </xf>
    <xf numFmtId="38" fontId="32" fillId="0" borderId="12" xfId="44" applyNumberFormat="1" applyFont="1" applyBorder="1" applyAlignment="1">
      <alignment horizontal="left" vertical="center" indent="1" shrinkToFit="1"/>
    </xf>
    <xf numFmtId="38" fontId="32" fillId="24" borderId="22" xfId="44" applyNumberFormat="1" applyFont="1" applyFill="1" applyBorder="1" applyAlignment="1">
      <alignment horizontal="center" vertical="center" shrinkToFit="1"/>
    </xf>
    <xf numFmtId="38" fontId="32" fillId="24" borderId="23" xfId="44" applyNumberFormat="1" applyFont="1" applyFill="1" applyBorder="1" applyAlignment="1">
      <alignment horizontal="center" vertical="center" shrinkToFit="1"/>
    </xf>
    <xf numFmtId="38" fontId="32" fillId="24" borderId="13" xfId="44" applyNumberFormat="1" applyFont="1" applyFill="1" applyBorder="1" applyAlignment="1">
      <alignment horizontal="center" vertical="center" shrinkToFit="1"/>
    </xf>
    <xf numFmtId="40" fontId="26" fillId="0" borderId="23" xfId="34" applyNumberFormat="1" applyFont="1" applyFill="1" applyBorder="1" applyAlignment="1">
      <alignment horizontal="right" vertical="center" shrinkToFit="1"/>
    </xf>
    <xf numFmtId="0" fontId="22" fillId="0" borderId="106" xfId="44" applyFont="1" applyBorder="1" applyAlignment="1">
      <alignment horizontal="center" vertical="center" shrinkToFit="1"/>
    </xf>
    <xf numFmtId="0" fontId="22" fillId="0" borderId="97" xfId="44" applyFont="1" applyBorder="1" applyAlignment="1">
      <alignment horizontal="center" vertical="center" shrinkToFit="1"/>
    </xf>
    <xf numFmtId="0" fontId="22" fillId="0" borderId="107" xfId="44" applyFont="1" applyBorder="1" applyAlignment="1">
      <alignment horizontal="center" vertical="center" shrinkToFit="1"/>
    </xf>
    <xf numFmtId="0" fontId="22" fillId="0" borderId="55" xfId="44" applyFont="1" applyBorder="1" applyAlignment="1">
      <alignment horizontal="center" vertical="center" shrinkToFit="1"/>
    </xf>
    <xf numFmtId="0" fontId="22" fillId="0" borderId="99" xfId="44" applyFont="1" applyBorder="1" applyAlignment="1">
      <alignment horizontal="center" vertical="center" shrinkToFit="1"/>
    </xf>
    <xf numFmtId="0" fontId="22" fillId="0" borderId="100" xfId="44" applyFont="1" applyBorder="1" applyAlignment="1">
      <alignment horizontal="center" vertical="center" shrinkToFit="1"/>
    </xf>
    <xf numFmtId="0" fontId="1" fillId="0" borderId="89" xfId="44" applyFont="1" applyBorder="1" applyAlignment="1">
      <alignment horizontal="center" vertical="center" wrapText="1" shrinkToFit="1"/>
    </xf>
    <xf numFmtId="0" fontId="1" fillId="0" borderId="23" xfId="44" applyFont="1" applyBorder="1" applyAlignment="1">
      <alignment horizontal="center" vertical="center" wrapText="1" shrinkToFit="1"/>
    </xf>
    <xf numFmtId="0" fontId="1" fillId="0" borderId="23" xfId="44" applyFont="1" applyBorder="1" applyAlignment="1">
      <alignment horizontal="center" vertical="center" shrinkToFit="1"/>
    </xf>
    <xf numFmtId="0" fontId="28" fillId="0" borderId="89" xfId="44" applyFont="1" applyBorder="1" applyAlignment="1">
      <alignment horizontal="center" vertical="center" wrapText="1" shrinkToFit="1"/>
    </xf>
    <xf numFmtId="0" fontId="28" fillId="0" borderId="23" xfId="44" applyFont="1" applyBorder="1" applyAlignment="1">
      <alignment horizontal="center" vertical="center" wrapText="1" shrinkToFit="1"/>
    </xf>
    <xf numFmtId="0" fontId="22" fillId="0" borderId="101" xfId="44" applyFont="1" applyBorder="1" applyAlignment="1">
      <alignment horizontal="center" vertical="center" shrinkToFit="1"/>
    </xf>
    <xf numFmtId="0" fontId="1" fillId="0" borderId="90" xfId="44" applyFont="1" applyBorder="1" applyAlignment="1">
      <alignment horizontal="center" vertical="center" shrinkToFit="1"/>
    </xf>
    <xf numFmtId="0" fontId="1" fillId="0" borderId="62" xfId="44" applyFont="1" applyBorder="1" applyAlignment="1">
      <alignment horizontal="center" vertical="center" shrinkToFit="1"/>
    </xf>
    <xf numFmtId="0" fontId="1" fillId="0" borderId="91" xfId="44" applyFont="1" applyBorder="1" applyAlignment="1">
      <alignment horizontal="center" vertical="center" shrinkToFit="1"/>
    </xf>
    <xf numFmtId="0" fontId="1" fillId="0" borderId="63" xfId="44" applyFont="1" applyBorder="1" applyAlignment="1">
      <alignment horizontal="center" vertical="center" shrinkToFit="1"/>
    </xf>
    <xf numFmtId="0" fontId="1" fillId="0" borderId="14" xfId="44" applyFont="1" applyBorder="1" applyAlignment="1">
      <alignment horizontal="center" vertical="center" shrinkToFit="1"/>
    </xf>
    <xf numFmtId="0" fontId="1" fillId="0" borderId="53" xfId="44" applyFont="1" applyBorder="1" applyAlignment="1">
      <alignment horizontal="center" vertical="center" shrinkToFit="1"/>
    </xf>
    <xf numFmtId="0" fontId="1" fillId="0" borderId="104" xfId="44" applyFont="1" applyBorder="1" applyAlignment="1">
      <alignment horizontal="center" vertical="center" shrinkToFit="1"/>
    </xf>
    <xf numFmtId="0" fontId="1" fillId="0" borderId="44" xfId="44" applyFont="1" applyBorder="1" applyAlignment="1">
      <alignment horizontal="center" vertical="center" shrinkToFit="1"/>
    </xf>
    <xf numFmtId="40" fontId="26" fillId="0" borderId="61" xfId="34" applyNumberFormat="1" applyFont="1" applyFill="1" applyBorder="1" applyAlignment="1">
      <alignment horizontal="right" vertical="center" shrinkToFit="1"/>
    </xf>
    <xf numFmtId="0" fontId="28" fillId="0" borderId="0" xfId="44" applyFont="1" applyAlignment="1">
      <alignment horizontal="left" vertical="center" wrapText="1"/>
    </xf>
    <xf numFmtId="0" fontId="36" fillId="0" borderId="0" xfId="0" applyFont="1" applyFill="1" applyAlignment="1">
      <alignment horizontal="center" shrinkToFit="1"/>
    </xf>
    <xf numFmtId="176" fontId="37" fillId="0" borderId="0" xfId="0" applyNumberFormat="1" applyFont="1" applyFill="1" applyBorder="1" applyAlignment="1">
      <alignment horizontal="center" vertical="center" wrapText="1" shrinkToFit="1"/>
    </xf>
    <xf numFmtId="0" fontId="22" fillId="0" borderId="31" xfId="44" applyFont="1" applyBorder="1" applyAlignment="1">
      <alignment horizontal="center" vertical="center"/>
    </xf>
    <xf numFmtId="0" fontId="22" fillId="0" borderId="33" xfId="44" applyFont="1" applyBorder="1" applyAlignment="1">
      <alignment horizontal="center" vertical="center"/>
    </xf>
    <xf numFmtId="0" fontId="22" fillId="0" borderId="36" xfId="44" applyFont="1" applyBorder="1" applyAlignment="1">
      <alignment horizontal="center" vertical="center"/>
    </xf>
    <xf numFmtId="0" fontId="26" fillId="0" borderId="33" xfId="44" applyFont="1" applyBorder="1" applyAlignment="1">
      <alignment horizontal="center" vertical="center"/>
    </xf>
    <xf numFmtId="38" fontId="32" fillId="24" borderId="35" xfId="44" applyNumberFormat="1" applyFont="1" applyFill="1" applyBorder="1" applyAlignment="1">
      <alignment horizontal="center" vertical="center" shrinkToFit="1"/>
    </xf>
    <xf numFmtId="38" fontId="32" fillId="0" borderId="35" xfId="44" applyNumberFormat="1" applyFont="1" applyBorder="1" applyAlignment="1">
      <alignment horizontal="left" vertical="center" indent="1" shrinkToFit="1"/>
    </xf>
    <xf numFmtId="38" fontId="32" fillId="0" borderId="92" xfId="44" applyNumberFormat="1" applyFont="1" applyBorder="1" applyAlignment="1">
      <alignment horizontal="left" vertical="center" indent="1" shrinkToFit="1"/>
    </xf>
    <xf numFmtId="38" fontId="32" fillId="24" borderId="88" xfId="44" applyNumberFormat="1" applyFont="1" applyFill="1" applyBorder="1" applyAlignment="1">
      <alignment horizontal="center" vertical="center" shrinkToFit="1"/>
    </xf>
    <xf numFmtId="38" fontId="32" fillId="24" borderId="92" xfId="44" applyNumberFormat="1" applyFont="1" applyFill="1" applyBorder="1" applyAlignment="1">
      <alignment horizontal="center" vertical="center" shrinkToFit="1"/>
    </xf>
    <xf numFmtId="38" fontId="32" fillId="24" borderId="105" xfId="44" applyNumberFormat="1" applyFont="1" applyFill="1" applyBorder="1" applyAlignment="1">
      <alignment horizontal="center" vertical="center" shrinkToFit="1"/>
    </xf>
    <xf numFmtId="0" fontId="26" fillId="0" borderId="93" xfId="44" applyFont="1" applyBorder="1" applyAlignment="1">
      <alignment horizontal="center" vertical="center"/>
    </xf>
    <xf numFmtId="0" fontId="26" fillId="0" borderId="91" xfId="44" applyFont="1" applyBorder="1" applyAlignment="1">
      <alignment horizontal="center" vertical="center"/>
    </xf>
    <xf numFmtId="0" fontId="26" fillId="0" borderId="14" xfId="44" applyFont="1" applyBorder="1" applyAlignment="1">
      <alignment horizontal="center" vertical="center"/>
    </xf>
    <xf numFmtId="38" fontId="1" fillId="0" borderId="0" xfId="44" applyNumberFormat="1" applyFont="1" applyAlignment="1">
      <alignment horizontal="center" vertical="center"/>
    </xf>
    <xf numFmtId="0" fontId="1" fillId="0" borderId="0" xfId="44" applyFont="1" applyAlignment="1">
      <alignment horizontal="center" vertical="center"/>
    </xf>
    <xf numFmtId="0" fontId="41" fillId="0" borderId="0" xfId="44" applyFont="1" applyAlignment="1">
      <alignment horizontal="left" vertical="center"/>
    </xf>
    <xf numFmtId="0" fontId="37" fillId="0" borderId="0" xfId="0" applyFont="1" applyFill="1" applyAlignment="1">
      <alignment horizontal="left" wrapText="1" shrinkToFit="1"/>
    </xf>
    <xf numFmtId="0" fontId="53" fillId="0" borderId="0" xfId="0" applyFont="1" applyFill="1" applyAlignment="1">
      <alignment horizontal="center" shrinkToFit="1"/>
    </xf>
    <xf numFmtId="0" fontId="55" fillId="0" borderId="0" xfId="44" applyFont="1" applyAlignment="1">
      <alignment horizontal="center" vertical="center" shrinkToFit="1"/>
    </xf>
    <xf numFmtId="0" fontId="22" fillId="0" borderId="35" xfId="44" applyFont="1" applyBorder="1" applyAlignment="1">
      <alignment horizontal="center" vertical="center" shrinkToFit="1"/>
    </xf>
    <xf numFmtId="0" fontId="22" fillId="0" borderId="34" xfId="44" applyFont="1" applyBorder="1" applyAlignment="1">
      <alignment horizontal="center" vertical="center" shrinkToFit="1"/>
    </xf>
    <xf numFmtId="0" fontId="22" fillId="0" borderId="37" xfId="44" applyFont="1" applyBorder="1" applyAlignment="1">
      <alignment horizontal="center" vertical="center" shrinkToFit="1"/>
    </xf>
    <xf numFmtId="40" fontId="26" fillId="0" borderId="93" xfId="34" applyNumberFormat="1" applyFont="1" applyBorder="1" applyAlignment="1">
      <alignment horizontal="right" vertical="center" shrinkToFit="1"/>
    </xf>
    <xf numFmtId="38" fontId="32" fillId="0" borderId="88" xfId="44" applyNumberFormat="1" applyFont="1" applyBorder="1" applyAlignment="1">
      <alignment horizontal="left" vertical="center" wrapText="1" indent="1" shrinkToFit="1"/>
    </xf>
    <xf numFmtId="38" fontId="32" fillId="0" borderId="92" xfId="44" applyNumberFormat="1" applyFont="1" applyBorder="1" applyAlignment="1">
      <alignment horizontal="left" vertical="center" wrapText="1" indent="1" shrinkToFit="1"/>
    </xf>
    <xf numFmtId="38" fontId="50" fillId="0" borderId="88" xfId="44" applyNumberFormat="1" applyFont="1" applyBorder="1" applyAlignment="1">
      <alignment horizontal="left" vertical="center" indent="1" shrinkToFit="1"/>
    </xf>
    <xf numFmtId="38" fontId="50" fillId="0" borderId="92" xfId="44" applyNumberFormat="1" applyFont="1" applyBorder="1" applyAlignment="1">
      <alignment horizontal="left" vertical="center" indent="1" shrinkToFit="1"/>
    </xf>
    <xf numFmtId="0" fontId="54" fillId="0" borderId="0" xfId="44" applyFont="1" applyAlignment="1">
      <alignment horizontal="left" vertical="center" wrapText="1"/>
    </xf>
    <xf numFmtId="0" fontId="26" fillId="0" borderId="32" xfId="44" applyFont="1" applyBorder="1" applyAlignment="1">
      <alignment horizontal="center" vertical="center"/>
    </xf>
    <xf numFmtId="38" fontId="50" fillId="0" borderId="105" xfId="44" applyNumberFormat="1" applyFont="1" applyBorder="1" applyAlignment="1">
      <alignment horizontal="left" vertical="center" indent="1" shrinkToFit="1"/>
    </xf>
    <xf numFmtId="38" fontId="50" fillId="0" borderId="12" xfId="44" applyNumberFormat="1" applyFont="1" applyBorder="1" applyAlignment="1">
      <alignment horizontal="left" vertical="center" indent="1" shrinkToFit="1"/>
    </xf>
    <xf numFmtId="38" fontId="32" fillId="24" borderId="50" xfId="44" applyNumberFormat="1" applyFont="1" applyFill="1" applyBorder="1" applyAlignment="1">
      <alignment horizontal="center" vertical="center" shrinkToFit="1"/>
    </xf>
    <xf numFmtId="40" fontId="26" fillId="0" borderId="50" xfId="34" applyNumberFormat="1" applyFont="1" applyFill="1" applyBorder="1" applyAlignment="1">
      <alignment horizontal="right" vertical="center" shrinkToFit="1"/>
    </xf>
    <xf numFmtId="0" fontId="0" fillId="0" borderId="91" xfId="0" applyBorder="1" applyAlignment="1">
      <alignment vertical="center" shrinkToFit="1"/>
    </xf>
    <xf numFmtId="0" fontId="0" fillId="0" borderId="14" xfId="0" applyBorder="1" applyAlignment="1">
      <alignment vertical="center"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_別紙６" xfId="44"/>
    <cellStyle name="良い" xfId="45" builtinId="26" customBuiltin="1"/>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619125</xdr:colOff>
      <xdr:row>0</xdr:row>
      <xdr:rowOff>209550</xdr:rowOff>
    </xdr:from>
    <xdr:to>
      <xdr:col>11</xdr:col>
      <xdr:colOff>428625</xdr:colOff>
      <xdr:row>0</xdr:row>
      <xdr:rowOff>638175</xdr:rowOff>
    </xdr:to>
    <xdr:sp macro="" textlink="">
      <xdr:nvSpPr>
        <xdr:cNvPr id="10241" name="Text Box 1"/>
        <xdr:cNvSpPr txBox="1">
          <a:spLocks noChangeArrowheads="1"/>
        </xdr:cNvSpPr>
      </xdr:nvSpPr>
      <xdr:spPr bwMode="auto">
        <a:xfrm>
          <a:off x="15944850" y="57150"/>
          <a:ext cx="1914525" cy="428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lnSpc>
              <a:spcPts val="2800"/>
            </a:lnSpc>
            <a:defRPr sz="1000"/>
          </a:pPr>
          <a:r>
            <a:rPr lang="ja-JP" altLang="en-US" sz="2400" b="1" i="0" u="none" strike="noStrike" baseline="0">
              <a:solidFill>
                <a:srgbClr val="000000"/>
              </a:solidFill>
              <a:latin typeface="ＭＳ Ｐゴシック"/>
              <a:ea typeface="ＭＳ Ｐゴシック"/>
            </a:rPr>
            <a:t>別紙６-２</a:t>
          </a:r>
        </a:p>
        <a:p>
          <a:pPr algn="ctr" rtl="0">
            <a:lnSpc>
              <a:spcPts val="2800"/>
            </a:lnSpc>
            <a:defRPr sz="1000"/>
          </a:pPr>
          <a:endParaRPr lang="ja-JP" altLang="en-US" sz="2400" b="1"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847725</xdr:colOff>
      <xdr:row>0</xdr:row>
      <xdr:rowOff>47625</xdr:rowOff>
    </xdr:from>
    <xdr:to>
      <xdr:col>11</xdr:col>
      <xdr:colOff>657225</xdr:colOff>
      <xdr:row>0</xdr:row>
      <xdr:rowOff>514350</xdr:rowOff>
    </xdr:to>
    <xdr:sp macro="" textlink="">
      <xdr:nvSpPr>
        <xdr:cNvPr id="2" name="Text Box 1"/>
        <xdr:cNvSpPr txBox="1">
          <a:spLocks noChangeArrowheads="1"/>
        </xdr:cNvSpPr>
      </xdr:nvSpPr>
      <xdr:spPr bwMode="auto">
        <a:xfrm>
          <a:off x="16021050" y="47625"/>
          <a:ext cx="1914525" cy="466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lnSpc>
              <a:spcPts val="3000"/>
            </a:lnSpc>
            <a:defRPr sz="1000"/>
          </a:pPr>
          <a:r>
            <a:rPr lang="ja-JP" altLang="en-US" sz="2400" b="1" i="0" u="none" strike="noStrike" baseline="0">
              <a:solidFill>
                <a:srgbClr val="000000"/>
              </a:solidFill>
              <a:latin typeface="ＭＳ Ｐゴシック"/>
              <a:ea typeface="ＭＳ Ｐゴシック"/>
            </a:rPr>
            <a:t>別紙４-1</a:t>
          </a:r>
        </a:p>
        <a:p>
          <a:pPr algn="ctr" rtl="0">
            <a:lnSpc>
              <a:spcPts val="2900"/>
            </a:lnSpc>
            <a:defRPr sz="1000"/>
          </a:pPr>
          <a:endParaRPr lang="ja-JP" altLang="en-US" sz="2400" b="1"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202\g-016031-$\01_&#20849;&#26377;&#12501;&#12457;&#12523;&#12480;\H27&#35373;&#20633;&#35506;\K5-5-01&#12288;&#20445;&#20840;&#12288;&#24193;&#33294;&#20445;&#20840;&#26989;&#21209;&#22996;&#35351;&#12539;&#36035;&#36024;&#20511;&#12539;&#20462;&#32341;\09_&#24066;&#24193;&#33294;&#38651;&#21147;&#20379;&#32102;&#22865;&#32004;(&#38651;&#21147;&#20837;&#26413;)\&#23398;&#26657;&#26045;&#35373;&#38651;&#21147;&#20837;&#26413;\&#9312;&#20837;&#26413;&#20282;&#12356;\&#38651;&#21147;&#20837;&#26413;&#36039;&#26009;&#65288;&#24179;&#25104;&#65298;&#65303;&#24180;&#24230;&#65289;H27-6-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1202\g-016031-$\01_&#20849;&#26377;&#12501;&#12457;&#12523;&#12480;\H27&#35373;&#20633;&#35506;\K5-5-01&#12288;&#20445;&#20840;&#12288;&#24193;&#33294;&#20445;&#20840;&#26989;&#21209;&#22996;&#35351;&#12539;&#36035;&#36024;&#20511;&#12539;&#20462;&#32341;\09_&#24066;&#24193;&#33294;&#38651;&#21147;&#20379;&#32102;&#22865;&#32004;(&#38651;&#21147;&#20837;&#26413;)\&#26412;&#24193;&#33294;&#38651;&#21147;&#20837;&#26413;\&#9312;&#20837;&#26413;&#20282;&#12356;\&#38651;&#21147;&#20837;&#26413;&#36039;&#26009;&#65288;&#24179;&#25104;&#65298;&#65303;&#24180;&#24230;&#65289;H27-6-1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03-5%20%20&#21029;&#32025;5,6,&#20104;&#23450;&#20385;&#26684;&#31639;&#20986;&#36039;&#26009;%20(&#23567;&#37089;&#24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７年１０月度～予想・２８年度実績（総使用量）"/>
      <sheetName val="（九州電力）２７年１０月～２８年９月度予想金額"/>
      <sheetName val="丸紅２７年１０月～２８年９月度予想金額"/>
      <sheetName val="平成２７年１０月～２８年９月予想（平日）"/>
      <sheetName val="平成２７年１０月～２８年９月予想（休日）"/>
      <sheetName val="別紙１"/>
      <sheetName val="別紙３－１"/>
      <sheetName val="別紙３－２"/>
      <sheetName val="別紙３－３"/>
      <sheetName val="別紙３－４"/>
      <sheetName val="別紙２－１"/>
      <sheetName val="別紙２－２"/>
      <sheetName val="Sheet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７年１０月度～予想・２８年度実績（総使用量）"/>
      <sheetName val="（九州電力）２７年１０月～２８年９月度予想金額"/>
      <sheetName val="丸紅２７年１０月～２８年９月度予想金額"/>
      <sheetName val="平成２７年１０月～２８年９月予想（平日）"/>
      <sheetName val="平成２７年１０月～２８年９月予想（休日）"/>
      <sheetName val="別紙１"/>
      <sheetName val="別紙３－１"/>
      <sheetName val="別紙３－２"/>
      <sheetName val="別紙３－３"/>
      <sheetName val="別紙３－４"/>
      <sheetName val="別紙２－１"/>
      <sheetName val="別紙２－２"/>
      <sheetName val="Sheet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九電)予定金額 "/>
      <sheetName val="(九電)予定金額  (2)"/>
      <sheetName val="予定価格試算"/>
      <sheetName val="(九電)予定金額 (最終)"/>
      <sheetName val="別添資料"/>
      <sheetName val="別紙５"/>
      <sheetName val="別紙6-2"/>
      <sheetName val="別紙6-1"/>
      <sheetName val="別紙6-2 (試算)"/>
      <sheetName val="別紙９　請求書送付先 "/>
      <sheetName val="予定価格算出資料"/>
      <sheetName val="予定価格算出資料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9">
          <cell r="B9" t="str">
            <v>小郡市役所庁舎</v>
          </cell>
          <cell r="G9" t="str">
            <v>夏季</v>
          </cell>
        </row>
        <row r="10">
          <cell r="G10" t="str">
            <v>その他季</v>
          </cell>
        </row>
        <row r="11">
          <cell r="B11" t="str">
            <v>小郡市役所庁舎（南別館）</v>
          </cell>
          <cell r="G11" t="str">
            <v>夏季</v>
          </cell>
        </row>
        <row r="12">
          <cell r="G12" t="str">
            <v>その他季</v>
          </cell>
        </row>
        <row r="13">
          <cell r="B13" t="str">
            <v>河北苑</v>
          </cell>
          <cell r="G13" t="str">
            <v>夏季</v>
          </cell>
        </row>
        <row r="14">
          <cell r="G14" t="str">
            <v>その他季</v>
          </cell>
        </row>
        <row r="15">
          <cell r="B15" t="str">
            <v>高齢者社会活動支援センター</v>
          </cell>
          <cell r="G15" t="str">
            <v>夏季</v>
          </cell>
        </row>
        <row r="16">
          <cell r="G16" t="str">
            <v>その他季</v>
          </cell>
        </row>
        <row r="17">
          <cell r="B17" t="str">
            <v>小郡市総合保健福祉センター
あすてらす</v>
          </cell>
          <cell r="G17" t="str">
            <v>夏季</v>
          </cell>
        </row>
        <row r="18">
          <cell r="G18" t="str">
            <v>その他季</v>
          </cell>
        </row>
        <row r="19">
          <cell r="B19" t="str">
            <v>味坂小学校</v>
          </cell>
          <cell r="G19" t="str">
            <v>夏季</v>
          </cell>
        </row>
        <row r="20">
          <cell r="G20" t="str">
            <v>その他季</v>
          </cell>
        </row>
        <row r="21">
          <cell r="B21" t="str">
            <v>小郡小学校</v>
          </cell>
          <cell r="G21" t="str">
            <v>夏季</v>
          </cell>
        </row>
        <row r="22">
          <cell r="G22" t="str">
            <v>その他季</v>
          </cell>
        </row>
        <row r="23">
          <cell r="B23" t="str">
            <v>御原小学校</v>
          </cell>
          <cell r="G23" t="str">
            <v>夏季</v>
          </cell>
        </row>
        <row r="24">
          <cell r="G24" t="str">
            <v>その他季</v>
          </cell>
        </row>
        <row r="25">
          <cell r="B25" t="str">
            <v>立石小学校</v>
          </cell>
          <cell r="G25" t="str">
            <v>夏季</v>
          </cell>
        </row>
        <row r="26">
          <cell r="G26" t="str">
            <v>その他季</v>
          </cell>
        </row>
        <row r="27">
          <cell r="B27" t="str">
            <v>三国小学校</v>
          </cell>
          <cell r="G27" t="str">
            <v>夏季</v>
          </cell>
        </row>
        <row r="28">
          <cell r="G28" t="str">
            <v>その他季</v>
          </cell>
        </row>
        <row r="29">
          <cell r="B29" t="str">
            <v>大原小学校</v>
          </cell>
          <cell r="G29" t="str">
            <v>夏季</v>
          </cell>
        </row>
        <row r="30">
          <cell r="G30" t="str">
            <v>その他季</v>
          </cell>
        </row>
        <row r="31">
          <cell r="G31" t="str">
            <v>夏季</v>
          </cell>
        </row>
        <row r="32">
          <cell r="G32" t="str">
            <v>その他季</v>
          </cell>
        </row>
        <row r="33">
          <cell r="B33" t="str">
            <v>宝城中学校</v>
          </cell>
          <cell r="G33" t="str">
            <v>夏季</v>
          </cell>
        </row>
        <row r="34">
          <cell r="G34" t="str">
            <v>その他季</v>
          </cell>
        </row>
        <row r="35">
          <cell r="B35" t="str">
            <v>大原中学校</v>
          </cell>
          <cell r="G35" t="str">
            <v>夏季</v>
          </cell>
        </row>
        <row r="36">
          <cell r="G36" t="str">
            <v>その他季</v>
          </cell>
        </row>
        <row r="37">
          <cell r="B37" t="str">
            <v>立石中学校</v>
          </cell>
          <cell r="G37" t="str">
            <v>夏季</v>
          </cell>
        </row>
        <row r="38">
          <cell r="G38" t="str">
            <v>その他季</v>
          </cell>
        </row>
        <row r="39">
          <cell r="B39" t="str">
            <v>小郡中学校</v>
          </cell>
          <cell r="G39" t="str">
            <v>夏季</v>
          </cell>
        </row>
        <row r="40">
          <cell r="G40" t="str">
            <v>その他季</v>
          </cell>
        </row>
        <row r="41">
          <cell r="B41" t="str">
            <v>三国中学校</v>
          </cell>
          <cell r="G41" t="str">
            <v>夏季</v>
          </cell>
        </row>
        <row r="42">
          <cell r="G42" t="str">
            <v>その他季</v>
          </cell>
        </row>
        <row r="43">
          <cell r="B43" t="str">
            <v>小郡市生涯学習センター</v>
          </cell>
          <cell r="G43" t="str">
            <v>夏季平日</v>
          </cell>
        </row>
        <row r="44">
          <cell r="G44" t="str">
            <v>夏季休日</v>
          </cell>
        </row>
        <row r="45">
          <cell r="G45" t="str">
            <v>その他季平日</v>
          </cell>
        </row>
        <row r="46">
          <cell r="G46" t="str">
            <v>その他季休日</v>
          </cell>
        </row>
        <row r="47">
          <cell r="B47" t="str">
            <v>小郡市文化会館</v>
          </cell>
          <cell r="G47" t="str">
            <v>夏季平日</v>
          </cell>
        </row>
        <row r="48">
          <cell r="G48" t="str">
            <v>夏季休日</v>
          </cell>
        </row>
        <row r="49">
          <cell r="G49" t="str">
            <v>その他季平日</v>
          </cell>
        </row>
        <row r="50">
          <cell r="G50" t="str">
            <v>その他季休日</v>
          </cell>
        </row>
        <row r="51">
          <cell r="B51" t="str">
            <v>味坂校区コミュニティセンター</v>
          </cell>
          <cell r="G51" t="str">
            <v>夏季</v>
          </cell>
        </row>
        <row r="52">
          <cell r="G52" t="str">
            <v>その他季</v>
          </cell>
        </row>
        <row r="53">
          <cell r="B53" t="str">
            <v>御原校区コミュニティセンター</v>
          </cell>
          <cell r="G53" t="str">
            <v>夏季</v>
          </cell>
        </row>
        <row r="54">
          <cell r="G54" t="str">
            <v>その他季</v>
          </cell>
        </row>
        <row r="55">
          <cell r="B55" t="str">
            <v>立石校区コミュニティセンター</v>
          </cell>
          <cell r="G55" t="str">
            <v>夏季</v>
          </cell>
        </row>
        <row r="56">
          <cell r="G56" t="str">
            <v>その他季</v>
          </cell>
        </row>
        <row r="57">
          <cell r="B57" t="str">
            <v>三国校区コミュニティセンター</v>
          </cell>
          <cell r="G57" t="str">
            <v>夏季</v>
          </cell>
        </row>
        <row r="58">
          <cell r="G58" t="str">
            <v>その他季</v>
          </cell>
        </row>
        <row r="59">
          <cell r="B59" t="str">
            <v>小郡校区コミュニティセンター</v>
          </cell>
          <cell r="G59" t="str">
            <v>夏季</v>
          </cell>
        </row>
        <row r="60">
          <cell r="G60" t="str">
            <v>その他季</v>
          </cell>
        </row>
        <row r="61">
          <cell r="B61" t="str">
            <v>東野校区コミュニティセンター</v>
          </cell>
          <cell r="G61" t="str">
            <v>夏季</v>
          </cell>
        </row>
        <row r="62">
          <cell r="G62" t="str">
            <v>その他季</v>
          </cell>
        </row>
        <row r="63">
          <cell r="B63" t="str">
            <v>大原校区コミュニティセンター</v>
          </cell>
          <cell r="G63" t="str">
            <v>夏季</v>
          </cell>
        </row>
        <row r="64">
          <cell r="G64" t="str">
            <v>その他季</v>
          </cell>
        </row>
        <row r="65">
          <cell r="B65" t="str">
            <v>小郡市体育館</v>
          </cell>
          <cell r="G65" t="str">
            <v>夏季</v>
          </cell>
        </row>
        <row r="66">
          <cell r="G66" t="str">
            <v>その他季</v>
          </cell>
        </row>
        <row r="67">
          <cell r="B67" t="str">
            <v>小郡市埋蔵文化財調査センター</v>
          </cell>
          <cell r="G67" t="str">
            <v>夏季</v>
          </cell>
        </row>
        <row r="68">
          <cell r="G68" t="str">
            <v>その他季</v>
          </cell>
        </row>
        <row r="69">
          <cell r="B69" t="str">
            <v>給食センター</v>
          </cell>
          <cell r="G69" t="str">
            <v>夏季</v>
          </cell>
        </row>
        <row r="70">
          <cell r="G70" t="str">
            <v>その他季</v>
          </cell>
        </row>
        <row r="71">
          <cell r="B71" t="str">
            <v>小郡運動公園</v>
          </cell>
        </row>
      </sheetData>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4"/>
  <sheetViews>
    <sheetView view="pageBreakPreview" zoomScale="70" zoomScaleNormal="145" zoomScaleSheetLayoutView="70" workbookViewId="0">
      <pane ySplit="1" topLeftCell="A74" activePane="bottomLeft" state="frozenSplit"/>
      <selection activeCell="F766" sqref="F766"/>
      <selection pane="bottomLeft" activeCell="C13" sqref="C13"/>
    </sheetView>
  </sheetViews>
  <sheetFormatPr defaultRowHeight="13.5" x14ac:dyDescent="0.15"/>
  <cols>
    <col min="1" max="1" width="14.625" style="1" customWidth="1"/>
    <col min="2" max="3" width="13.625" style="2" customWidth="1"/>
    <col min="4" max="4" width="9.625" style="2" customWidth="1"/>
    <col min="5" max="5" width="15.625" style="2" customWidth="1"/>
    <col min="6" max="6" width="10.625" style="2" customWidth="1"/>
    <col min="7" max="9" width="13.625" style="2" customWidth="1"/>
    <col min="10" max="11" width="15.625" style="2" customWidth="1"/>
    <col min="12" max="12" width="0.75" style="61" customWidth="1"/>
    <col min="13" max="13" width="14.625" style="64" customWidth="1"/>
    <col min="14" max="15" width="13.625" style="63" customWidth="1"/>
    <col min="16" max="16" width="9.625" style="63" customWidth="1"/>
    <col min="17" max="17" width="15.625" style="63" customWidth="1"/>
    <col min="18" max="18" width="10.625" style="63" customWidth="1"/>
    <col min="19" max="21" width="13.625" style="63" customWidth="1"/>
    <col min="22" max="23" width="15.625" style="63" customWidth="1"/>
    <col min="24" max="24" width="0.75" style="61" customWidth="1"/>
    <col min="25" max="25" width="14.625" style="64" customWidth="1"/>
    <col min="26" max="27" width="13.625" style="63" customWidth="1"/>
    <col min="28" max="28" width="9.625" style="63" customWidth="1"/>
    <col min="29" max="29" width="15.625" style="63" customWidth="1"/>
    <col min="30" max="30" width="10.625" style="63" customWidth="1"/>
    <col min="31" max="33" width="13.625" style="63" customWidth="1"/>
    <col min="34" max="35" width="15.625" style="63" customWidth="1"/>
    <col min="36" max="16384" width="9" style="2"/>
  </cols>
  <sheetData>
    <row r="1" spans="1:35" ht="42.75" customHeight="1" x14ac:dyDescent="0.15">
      <c r="A1" s="767" t="s">
        <v>10</v>
      </c>
      <c r="B1" s="767"/>
      <c r="C1" s="767"/>
      <c r="D1" s="767"/>
      <c r="E1" s="767"/>
      <c r="F1" s="767"/>
      <c r="G1" s="767"/>
      <c r="H1" s="767"/>
      <c r="I1" s="767"/>
      <c r="J1" s="767"/>
      <c r="K1" s="767"/>
      <c r="L1" s="65"/>
      <c r="M1" s="663" t="s">
        <v>11</v>
      </c>
      <c r="N1" s="663"/>
      <c r="O1" s="663"/>
      <c r="P1" s="663"/>
      <c r="Q1" s="663"/>
      <c r="R1" s="663"/>
      <c r="S1" s="663"/>
      <c r="T1" s="663"/>
      <c r="U1" s="663"/>
      <c r="V1" s="663"/>
      <c r="W1" s="663"/>
      <c r="X1" s="65"/>
      <c r="Y1" s="663" t="s">
        <v>11</v>
      </c>
      <c r="Z1" s="663"/>
      <c r="AA1" s="663"/>
      <c r="AB1" s="663"/>
      <c r="AC1" s="663"/>
      <c r="AD1" s="663"/>
      <c r="AE1" s="663"/>
      <c r="AF1" s="663"/>
      <c r="AG1" s="663"/>
      <c r="AH1" s="663"/>
      <c r="AI1" s="663"/>
    </row>
    <row r="2" spans="1:35" x14ac:dyDescent="0.15">
      <c r="A2" s="211" t="s">
        <v>147</v>
      </c>
      <c r="B2" s="212">
        <v>1</v>
      </c>
      <c r="C2" s="213"/>
      <c r="D2" s="213"/>
      <c r="E2" s="213"/>
      <c r="F2" s="213"/>
      <c r="G2" s="213"/>
      <c r="H2" s="213"/>
      <c r="I2" s="213"/>
      <c r="J2" s="213"/>
      <c r="K2" s="692" t="str">
        <f>IF(K25-W25&lt;=0,"現状のまま","メニュー変更")</f>
        <v>現状のまま</v>
      </c>
      <c r="M2" s="47" t="s">
        <v>147</v>
      </c>
      <c r="N2" s="62">
        <v>1</v>
      </c>
      <c r="W2" s="664"/>
      <c r="Y2" s="47" t="s">
        <v>147</v>
      </c>
      <c r="Z2" s="62">
        <v>1</v>
      </c>
      <c r="AI2" s="664"/>
    </row>
    <row r="3" spans="1:35" x14ac:dyDescent="0.15">
      <c r="A3" s="214"/>
      <c r="B3" s="213"/>
      <c r="C3" s="213"/>
      <c r="D3" s="213"/>
      <c r="E3" s="213"/>
      <c r="F3" s="213"/>
      <c r="G3" s="213"/>
      <c r="H3" s="213"/>
      <c r="I3" s="213"/>
      <c r="J3" s="213"/>
      <c r="K3" s="692"/>
      <c r="W3" s="664"/>
      <c r="AI3" s="664"/>
    </row>
    <row r="4" spans="1:35" x14ac:dyDescent="0.15">
      <c r="A4" s="214"/>
      <c r="B4" s="213"/>
      <c r="C4" s="213"/>
      <c r="D4" s="213"/>
      <c r="E4" s="213"/>
      <c r="F4" s="213"/>
      <c r="G4" s="213"/>
      <c r="H4" s="213"/>
      <c r="I4" s="213"/>
      <c r="J4" s="213"/>
      <c r="K4" s="692"/>
      <c r="W4" s="664"/>
      <c r="AI4" s="664"/>
    </row>
    <row r="5" spans="1:35" ht="17.25" x14ac:dyDescent="0.15">
      <c r="A5" s="694" t="s">
        <v>129</v>
      </c>
      <c r="B5" s="694"/>
      <c r="C5" s="694"/>
      <c r="D5" s="694"/>
      <c r="E5" s="694"/>
      <c r="F5" s="694"/>
      <c r="G5" s="694"/>
      <c r="H5" s="694"/>
      <c r="I5" s="694"/>
      <c r="J5" s="694"/>
      <c r="K5" s="694"/>
      <c r="M5" s="553" t="s">
        <v>175</v>
      </c>
      <c r="N5" s="553"/>
      <c r="O5" s="553"/>
      <c r="P5" s="553"/>
      <c r="Q5" s="553"/>
      <c r="R5" s="553"/>
      <c r="S5" s="553"/>
      <c r="T5" s="553"/>
      <c r="U5" s="553"/>
      <c r="V5" s="553"/>
      <c r="W5" s="553"/>
      <c r="Y5" s="553" t="s">
        <v>148</v>
      </c>
      <c r="Z5" s="553"/>
      <c r="AA5" s="553"/>
      <c r="AB5" s="553"/>
      <c r="AC5" s="553"/>
      <c r="AD5" s="553"/>
      <c r="AE5" s="553"/>
      <c r="AF5" s="553"/>
      <c r="AG5" s="553"/>
      <c r="AH5" s="553"/>
      <c r="AI5" s="553"/>
    </row>
    <row r="6" spans="1:35" ht="18" customHeight="1" x14ac:dyDescent="0.15">
      <c r="A6" s="689" t="s">
        <v>149</v>
      </c>
      <c r="B6" s="689"/>
      <c r="C6" s="689"/>
      <c r="D6" s="689"/>
      <c r="E6" s="689"/>
      <c r="F6" s="689"/>
      <c r="G6" s="689"/>
      <c r="H6" s="689"/>
      <c r="I6" s="689"/>
      <c r="J6" s="689"/>
      <c r="K6" s="689"/>
      <c r="M6" s="555" t="s">
        <v>149</v>
      </c>
      <c r="N6" s="555"/>
      <c r="O6" s="555"/>
      <c r="P6" s="555"/>
      <c r="Q6" s="555"/>
      <c r="R6" s="555"/>
      <c r="S6" s="555"/>
      <c r="T6" s="555"/>
      <c r="U6" s="555"/>
      <c r="V6" s="555"/>
      <c r="W6" s="555"/>
      <c r="Y6" s="555" t="s">
        <v>149</v>
      </c>
      <c r="Z6" s="555"/>
      <c r="AA6" s="555"/>
      <c r="AB6" s="555"/>
      <c r="AC6" s="555"/>
      <c r="AD6" s="555"/>
      <c r="AE6" s="555"/>
      <c r="AF6" s="555"/>
      <c r="AG6" s="555"/>
      <c r="AH6" s="555"/>
      <c r="AI6" s="555"/>
    </row>
    <row r="7" spans="1:35" ht="14.25" thickBot="1" x14ac:dyDescent="0.2">
      <c r="A7" s="215" t="s">
        <v>150</v>
      </c>
      <c r="B7" s="215"/>
      <c r="C7" s="213"/>
      <c r="D7" s="213"/>
      <c r="E7" s="213"/>
      <c r="F7" s="213"/>
      <c r="G7" s="213"/>
      <c r="H7" s="213"/>
      <c r="I7" s="213"/>
      <c r="J7" s="213"/>
      <c r="K7" s="211" t="s">
        <v>70</v>
      </c>
      <c r="L7" s="2"/>
      <c r="M7" s="662" t="s">
        <v>151</v>
      </c>
      <c r="N7" s="662"/>
      <c r="W7" s="47" t="s">
        <v>84</v>
      </c>
      <c r="X7" s="2"/>
      <c r="Y7" s="662" t="s">
        <v>151</v>
      </c>
      <c r="Z7" s="662"/>
      <c r="AI7" s="47" t="s">
        <v>84</v>
      </c>
    </row>
    <row r="8" spans="1:35" ht="18" customHeight="1" thickBot="1" x14ac:dyDescent="0.2">
      <c r="A8" s="695" t="s">
        <v>33</v>
      </c>
      <c r="B8" s="683" t="s">
        <v>24</v>
      </c>
      <c r="C8" s="684"/>
      <c r="D8" s="684"/>
      <c r="E8" s="685"/>
      <c r="F8" s="686" t="s">
        <v>34</v>
      </c>
      <c r="G8" s="687"/>
      <c r="H8" s="687"/>
      <c r="I8" s="687"/>
      <c r="J8" s="688"/>
      <c r="K8" s="667" t="s">
        <v>35</v>
      </c>
      <c r="L8" s="2"/>
      <c r="M8" s="567" t="s">
        <v>33</v>
      </c>
      <c r="N8" s="570" t="s">
        <v>24</v>
      </c>
      <c r="O8" s="571"/>
      <c r="P8" s="571"/>
      <c r="Q8" s="572"/>
      <c r="R8" s="573" t="s">
        <v>34</v>
      </c>
      <c r="S8" s="574"/>
      <c r="T8" s="574"/>
      <c r="U8" s="574"/>
      <c r="V8" s="575"/>
      <c r="W8" s="544" t="s">
        <v>35</v>
      </c>
      <c r="X8" s="2"/>
      <c r="Y8" s="567" t="s">
        <v>33</v>
      </c>
      <c r="Z8" s="570" t="s">
        <v>24</v>
      </c>
      <c r="AA8" s="571"/>
      <c r="AB8" s="571"/>
      <c r="AC8" s="572"/>
      <c r="AD8" s="573" t="s">
        <v>34</v>
      </c>
      <c r="AE8" s="574"/>
      <c r="AF8" s="574"/>
      <c r="AG8" s="574"/>
      <c r="AH8" s="575"/>
      <c r="AI8" s="544" t="s">
        <v>35</v>
      </c>
    </row>
    <row r="9" spans="1:35" ht="13.5" customHeight="1" x14ac:dyDescent="0.15">
      <c r="A9" s="696"/>
      <c r="B9" s="669" t="s">
        <v>28</v>
      </c>
      <c r="C9" s="667" t="s">
        <v>29</v>
      </c>
      <c r="D9" s="669" t="s">
        <v>25</v>
      </c>
      <c r="E9" s="678" t="s">
        <v>31</v>
      </c>
      <c r="F9" s="679" t="s">
        <v>36</v>
      </c>
      <c r="G9" s="680"/>
      <c r="H9" s="216"/>
      <c r="I9" s="667" t="s">
        <v>37</v>
      </c>
      <c r="J9" s="669" t="s">
        <v>38</v>
      </c>
      <c r="K9" s="668"/>
      <c r="L9" s="2"/>
      <c r="M9" s="568"/>
      <c r="N9" s="546" t="s">
        <v>28</v>
      </c>
      <c r="O9" s="544" t="s">
        <v>29</v>
      </c>
      <c r="P9" s="546" t="s">
        <v>25</v>
      </c>
      <c r="Q9" s="582" t="s">
        <v>31</v>
      </c>
      <c r="R9" s="540" t="s">
        <v>36</v>
      </c>
      <c r="S9" s="541"/>
      <c r="T9" s="135"/>
      <c r="U9" s="544" t="s">
        <v>37</v>
      </c>
      <c r="V9" s="546" t="s">
        <v>38</v>
      </c>
      <c r="W9" s="545"/>
      <c r="X9" s="2"/>
      <c r="Y9" s="568"/>
      <c r="Z9" s="546" t="s">
        <v>28</v>
      </c>
      <c r="AA9" s="544" t="s">
        <v>29</v>
      </c>
      <c r="AB9" s="546" t="s">
        <v>25</v>
      </c>
      <c r="AC9" s="582" t="s">
        <v>31</v>
      </c>
      <c r="AD9" s="540" t="s">
        <v>36</v>
      </c>
      <c r="AE9" s="541"/>
      <c r="AF9" s="135"/>
      <c r="AG9" s="544" t="s">
        <v>37</v>
      </c>
      <c r="AH9" s="546" t="s">
        <v>38</v>
      </c>
      <c r="AI9" s="545"/>
    </row>
    <row r="10" spans="1:35" x14ac:dyDescent="0.15">
      <c r="A10" s="696"/>
      <c r="B10" s="669"/>
      <c r="C10" s="668"/>
      <c r="D10" s="669"/>
      <c r="E10" s="669"/>
      <c r="F10" s="681"/>
      <c r="G10" s="682"/>
      <c r="H10" s="217"/>
      <c r="I10" s="668"/>
      <c r="J10" s="669"/>
      <c r="K10" s="668"/>
      <c r="L10" s="2"/>
      <c r="M10" s="568"/>
      <c r="N10" s="546"/>
      <c r="O10" s="545"/>
      <c r="P10" s="546"/>
      <c r="Q10" s="546"/>
      <c r="R10" s="542"/>
      <c r="S10" s="543"/>
      <c r="T10" s="136"/>
      <c r="U10" s="545"/>
      <c r="V10" s="546"/>
      <c r="W10" s="545"/>
      <c r="X10" s="2"/>
      <c r="Y10" s="568"/>
      <c r="Z10" s="546"/>
      <c r="AA10" s="545"/>
      <c r="AB10" s="546"/>
      <c r="AC10" s="546"/>
      <c r="AD10" s="542"/>
      <c r="AE10" s="543"/>
      <c r="AF10" s="136"/>
      <c r="AG10" s="545"/>
      <c r="AH10" s="546"/>
      <c r="AI10" s="545"/>
    </row>
    <row r="11" spans="1:35" ht="23.25" customHeight="1" x14ac:dyDescent="0.15">
      <c r="A11" s="696"/>
      <c r="B11" s="218" t="s">
        <v>13</v>
      </c>
      <c r="C11" s="219" t="s">
        <v>30</v>
      </c>
      <c r="D11" s="218" t="s">
        <v>14</v>
      </c>
      <c r="E11" s="218" t="s">
        <v>40</v>
      </c>
      <c r="F11" s="665" t="s">
        <v>15</v>
      </c>
      <c r="G11" s="666"/>
      <c r="H11" s="220"/>
      <c r="I11" s="219" t="s">
        <v>30</v>
      </c>
      <c r="J11" s="218" t="s">
        <v>40</v>
      </c>
      <c r="K11" s="218" t="s">
        <v>40</v>
      </c>
      <c r="L11" s="2"/>
      <c r="M11" s="568"/>
      <c r="N11" s="137" t="s">
        <v>152</v>
      </c>
      <c r="O11" s="138" t="s">
        <v>30</v>
      </c>
      <c r="P11" s="137" t="s">
        <v>14</v>
      </c>
      <c r="Q11" s="137" t="s">
        <v>40</v>
      </c>
      <c r="R11" s="549" t="s">
        <v>15</v>
      </c>
      <c r="S11" s="550"/>
      <c r="T11" s="139"/>
      <c r="U11" s="138" t="s">
        <v>30</v>
      </c>
      <c r="V11" s="137" t="s">
        <v>40</v>
      </c>
      <c r="W11" s="137" t="s">
        <v>40</v>
      </c>
      <c r="X11" s="2"/>
      <c r="Y11" s="568"/>
      <c r="Z11" s="137" t="s">
        <v>152</v>
      </c>
      <c r="AA11" s="138" t="s">
        <v>30</v>
      </c>
      <c r="AB11" s="137" t="s">
        <v>14</v>
      </c>
      <c r="AC11" s="137" t="s">
        <v>40</v>
      </c>
      <c r="AD11" s="549" t="s">
        <v>15</v>
      </c>
      <c r="AE11" s="550"/>
      <c r="AF11" s="139"/>
      <c r="AG11" s="138" t="s">
        <v>30</v>
      </c>
      <c r="AH11" s="137" t="s">
        <v>40</v>
      </c>
      <c r="AI11" s="137" t="s">
        <v>40</v>
      </c>
    </row>
    <row r="12" spans="1:35" ht="15.75" customHeight="1" thickBot="1" x14ac:dyDescent="0.2">
      <c r="A12" s="697"/>
      <c r="B12" s="221" t="s">
        <v>16</v>
      </c>
      <c r="C12" s="221" t="s">
        <v>17</v>
      </c>
      <c r="D12" s="221" t="s">
        <v>18</v>
      </c>
      <c r="E12" s="221" t="s">
        <v>19</v>
      </c>
      <c r="F12" s="222"/>
      <c r="G12" s="223" t="s">
        <v>20</v>
      </c>
      <c r="H12" s="223"/>
      <c r="I12" s="221" t="s">
        <v>21</v>
      </c>
      <c r="J12" s="221" t="s">
        <v>22</v>
      </c>
      <c r="K12" s="223" t="s">
        <v>23</v>
      </c>
      <c r="L12" s="2"/>
      <c r="M12" s="569"/>
      <c r="N12" s="122" t="s">
        <v>16</v>
      </c>
      <c r="O12" s="122" t="s">
        <v>17</v>
      </c>
      <c r="P12" s="122" t="s">
        <v>18</v>
      </c>
      <c r="Q12" s="122" t="s">
        <v>19</v>
      </c>
      <c r="R12" s="140"/>
      <c r="S12" s="141" t="s">
        <v>20</v>
      </c>
      <c r="T12" s="141"/>
      <c r="U12" s="122" t="s">
        <v>21</v>
      </c>
      <c r="V12" s="122" t="s">
        <v>22</v>
      </c>
      <c r="W12" s="141" t="s">
        <v>23</v>
      </c>
      <c r="X12" s="2"/>
      <c r="Y12" s="569"/>
      <c r="Z12" s="122" t="s">
        <v>16</v>
      </c>
      <c r="AA12" s="122" t="s">
        <v>17</v>
      </c>
      <c r="AB12" s="122" t="s">
        <v>18</v>
      </c>
      <c r="AC12" s="122" t="s">
        <v>19</v>
      </c>
      <c r="AD12" s="140"/>
      <c r="AE12" s="141" t="s">
        <v>20</v>
      </c>
      <c r="AF12" s="141"/>
      <c r="AG12" s="122" t="s">
        <v>21</v>
      </c>
      <c r="AH12" s="122" t="s">
        <v>22</v>
      </c>
      <c r="AI12" s="141" t="s">
        <v>23</v>
      </c>
    </row>
    <row r="13" spans="1:35" s="83" customFormat="1" ht="30" customHeight="1" x14ac:dyDescent="0.15">
      <c r="A13" s="224" t="s">
        <v>83</v>
      </c>
      <c r="B13" s="225">
        <v>232</v>
      </c>
      <c r="C13" s="226">
        <v>2008.8</v>
      </c>
      <c r="D13" s="227">
        <v>100</v>
      </c>
      <c r="E13" s="228">
        <f t="shared" ref="E13:E24" si="0">ROUNDDOWN(B13*C13*((185-D13)/100),2)</f>
        <v>396135.36</v>
      </c>
      <c r="F13" s="229" t="s">
        <v>85</v>
      </c>
      <c r="G13" s="230">
        <v>45192</v>
      </c>
      <c r="H13" s="230"/>
      <c r="I13" s="226">
        <v>11.87</v>
      </c>
      <c r="J13" s="228">
        <f t="shared" ref="J13:J24" si="1">ROUNDDOWN(G13*I13,2)</f>
        <v>536429.04</v>
      </c>
      <c r="K13" s="231">
        <f t="shared" ref="K13:K24" si="2">ROUNDDOWN(J13+E13,2)</f>
        <v>932564.4</v>
      </c>
      <c r="M13" s="142" t="s">
        <v>83</v>
      </c>
      <c r="N13" s="143">
        <v>232</v>
      </c>
      <c r="O13" s="123">
        <v>1296</v>
      </c>
      <c r="P13" s="144">
        <v>100</v>
      </c>
      <c r="Q13" s="98">
        <f t="shared" ref="Q13:Q24" si="3">ROUNDDOWN(N13*O13*((185-P13)/100),2)</f>
        <v>255571.20000000001</v>
      </c>
      <c r="R13" s="145" t="s">
        <v>85</v>
      </c>
      <c r="S13" s="146">
        <v>45192</v>
      </c>
      <c r="T13" s="146"/>
      <c r="U13" s="124">
        <v>16.87</v>
      </c>
      <c r="V13" s="98">
        <f t="shared" ref="V13:V24" si="4">ROUNDDOWN(S13*U13,2)</f>
        <v>762389.04</v>
      </c>
      <c r="W13" s="147">
        <f t="shared" ref="W13:W24" si="5">ROUNDDOWN(V13+Q13,2)</f>
        <v>1017960.24</v>
      </c>
      <c r="Y13" s="142" t="s">
        <v>83</v>
      </c>
      <c r="Z13" s="143">
        <v>232</v>
      </c>
      <c r="AA13" s="123">
        <v>1296</v>
      </c>
      <c r="AB13" s="144">
        <v>100</v>
      </c>
      <c r="AC13" s="98">
        <f t="shared" ref="AC13:AC24" si="6">ROUNDDOWN(Z13*AA13*((185-AB13)/100),2)</f>
        <v>255571.20000000001</v>
      </c>
      <c r="AD13" s="145" t="s">
        <v>85</v>
      </c>
      <c r="AE13" s="146">
        <v>45192</v>
      </c>
      <c r="AF13" s="146"/>
      <c r="AG13" s="124">
        <v>16.87</v>
      </c>
      <c r="AH13" s="98">
        <f t="shared" ref="AH13:AH24" si="7">ROUNDDOWN(AE13*AG13,2)</f>
        <v>762389.04</v>
      </c>
      <c r="AI13" s="147">
        <f t="shared" ref="AI13:AI24" si="8">ROUNDDOWN(AH13+AC13,2)</f>
        <v>1017960.24</v>
      </c>
    </row>
    <row r="14" spans="1:35" s="83" customFormat="1" ht="30" customHeight="1" x14ac:dyDescent="0.15">
      <c r="A14" s="232" t="s">
        <v>72</v>
      </c>
      <c r="B14" s="233">
        <f t="shared" ref="B14:B24" si="9">B13</f>
        <v>232</v>
      </c>
      <c r="C14" s="234">
        <f t="shared" ref="C14:C24" si="10">C13</f>
        <v>2008.8</v>
      </c>
      <c r="D14" s="235">
        <f t="shared" ref="D14:D24" si="11">D13</f>
        <v>100</v>
      </c>
      <c r="E14" s="228">
        <f t="shared" si="0"/>
        <v>396135.36</v>
      </c>
      <c r="F14" s="229" t="s">
        <v>112</v>
      </c>
      <c r="G14" s="230">
        <v>43055</v>
      </c>
      <c r="H14" s="230"/>
      <c r="I14" s="234">
        <f>I13</f>
        <v>11.87</v>
      </c>
      <c r="J14" s="228">
        <f t="shared" si="1"/>
        <v>511062.85</v>
      </c>
      <c r="K14" s="231">
        <f t="shared" si="2"/>
        <v>907198.21</v>
      </c>
      <c r="M14" s="148" t="s">
        <v>72</v>
      </c>
      <c r="N14" s="149">
        <f t="shared" ref="N14:N24" si="12">N13</f>
        <v>232</v>
      </c>
      <c r="O14" s="125">
        <f t="shared" ref="O14:O24" si="13">O13</f>
        <v>1296</v>
      </c>
      <c r="P14" s="106">
        <f t="shared" ref="P14:P24" si="14">P13</f>
        <v>100</v>
      </c>
      <c r="Q14" s="98">
        <f t="shared" si="3"/>
        <v>255571.20000000001</v>
      </c>
      <c r="R14" s="145" t="s">
        <v>112</v>
      </c>
      <c r="S14" s="146">
        <v>43055</v>
      </c>
      <c r="T14" s="146"/>
      <c r="U14" s="125">
        <f>U13</f>
        <v>16.87</v>
      </c>
      <c r="V14" s="98">
        <f t="shared" si="4"/>
        <v>726337.85</v>
      </c>
      <c r="W14" s="147">
        <f t="shared" si="5"/>
        <v>981909.05</v>
      </c>
      <c r="Y14" s="148" t="s">
        <v>72</v>
      </c>
      <c r="Z14" s="149">
        <f t="shared" ref="Z14:Z24" si="15">Z13</f>
        <v>232</v>
      </c>
      <c r="AA14" s="125">
        <f t="shared" ref="AA14:AA24" si="16">AA13</f>
        <v>1296</v>
      </c>
      <c r="AB14" s="106">
        <f t="shared" ref="AB14:AB24" si="17">AB13</f>
        <v>100</v>
      </c>
      <c r="AC14" s="98">
        <f t="shared" si="6"/>
        <v>255571.20000000001</v>
      </c>
      <c r="AD14" s="145" t="s">
        <v>112</v>
      </c>
      <c r="AE14" s="146">
        <v>43055</v>
      </c>
      <c r="AF14" s="146"/>
      <c r="AG14" s="125">
        <f>AG13</f>
        <v>16.87</v>
      </c>
      <c r="AH14" s="98">
        <f t="shared" si="7"/>
        <v>726337.85</v>
      </c>
      <c r="AI14" s="147">
        <f t="shared" si="8"/>
        <v>981909.05</v>
      </c>
    </row>
    <row r="15" spans="1:35" s="83" customFormat="1" ht="30" customHeight="1" x14ac:dyDescent="0.15">
      <c r="A15" s="232" t="s">
        <v>73</v>
      </c>
      <c r="B15" s="233">
        <f t="shared" si="9"/>
        <v>232</v>
      </c>
      <c r="C15" s="234">
        <f t="shared" si="10"/>
        <v>2008.8</v>
      </c>
      <c r="D15" s="235">
        <f t="shared" si="11"/>
        <v>100</v>
      </c>
      <c r="E15" s="228">
        <f t="shared" si="0"/>
        <v>396135.36</v>
      </c>
      <c r="F15" s="229" t="s">
        <v>9</v>
      </c>
      <c r="G15" s="230">
        <v>41837</v>
      </c>
      <c r="H15" s="230"/>
      <c r="I15" s="234">
        <f>I14</f>
        <v>11.87</v>
      </c>
      <c r="J15" s="228">
        <f t="shared" si="1"/>
        <v>496605.19</v>
      </c>
      <c r="K15" s="231">
        <f t="shared" si="2"/>
        <v>892740.55</v>
      </c>
      <c r="M15" s="148" t="s">
        <v>73</v>
      </c>
      <c r="N15" s="149">
        <f t="shared" si="12"/>
        <v>232</v>
      </c>
      <c r="O15" s="125">
        <f t="shared" si="13"/>
        <v>1296</v>
      </c>
      <c r="P15" s="106">
        <f t="shared" si="14"/>
        <v>100</v>
      </c>
      <c r="Q15" s="98">
        <f t="shared" si="3"/>
        <v>255571.20000000001</v>
      </c>
      <c r="R15" s="145" t="s">
        <v>9</v>
      </c>
      <c r="S15" s="146">
        <v>41837</v>
      </c>
      <c r="T15" s="146"/>
      <c r="U15" s="125">
        <f>U14</f>
        <v>16.87</v>
      </c>
      <c r="V15" s="98">
        <f t="shared" si="4"/>
        <v>705790.19</v>
      </c>
      <c r="W15" s="147">
        <f t="shared" si="5"/>
        <v>961361.39</v>
      </c>
      <c r="Y15" s="148" t="s">
        <v>73</v>
      </c>
      <c r="Z15" s="149">
        <f t="shared" si="15"/>
        <v>232</v>
      </c>
      <c r="AA15" s="125">
        <f t="shared" si="16"/>
        <v>1296</v>
      </c>
      <c r="AB15" s="106">
        <f t="shared" si="17"/>
        <v>100</v>
      </c>
      <c r="AC15" s="98">
        <f t="shared" si="6"/>
        <v>255571.20000000001</v>
      </c>
      <c r="AD15" s="145" t="s">
        <v>9</v>
      </c>
      <c r="AE15" s="146">
        <v>41837</v>
      </c>
      <c r="AF15" s="146"/>
      <c r="AG15" s="125">
        <f>AG14</f>
        <v>16.87</v>
      </c>
      <c r="AH15" s="98">
        <f t="shared" si="7"/>
        <v>705790.19</v>
      </c>
      <c r="AI15" s="147">
        <f t="shared" si="8"/>
        <v>961361.39</v>
      </c>
    </row>
    <row r="16" spans="1:35" s="83" customFormat="1" ht="30" customHeight="1" x14ac:dyDescent="0.15">
      <c r="A16" s="232" t="s">
        <v>74</v>
      </c>
      <c r="B16" s="233">
        <f t="shared" si="9"/>
        <v>232</v>
      </c>
      <c r="C16" s="234">
        <f t="shared" si="10"/>
        <v>2008.8</v>
      </c>
      <c r="D16" s="235">
        <f t="shared" si="11"/>
        <v>100</v>
      </c>
      <c r="E16" s="228">
        <f t="shared" si="0"/>
        <v>396135.36</v>
      </c>
      <c r="F16" s="229" t="s">
        <v>9</v>
      </c>
      <c r="G16" s="230">
        <v>22800</v>
      </c>
      <c r="H16" s="230"/>
      <c r="I16" s="234">
        <f>I15</f>
        <v>11.87</v>
      </c>
      <c r="J16" s="228">
        <f t="shared" si="1"/>
        <v>270636</v>
      </c>
      <c r="K16" s="231">
        <f t="shared" si="2"/>
        <v>666771.36</v>
      </c>
      <c r="M16" s="148" t="s">
        <v>74</v>
      </c>
      <c r="N16" s="149">
        <f t="shared" si="12"/>
        <v>232</v>
      </c>
      <c r="O16" s="125">
        <f t="shared" si="13"/>
        <v>1296</v>
      </c>
      <c r="P16" s="106">
        <f t="shared" si="14"/>
        <v>100</v>
      </c>
      <c r="Q16" s="98">
        <f t="shared" si="3"/>
        <v>255571.20000000001</v>
      </c>
      <c r="R16" s="145" t="s">
        <v>9</v>
      </c>
      <c r="S16" s="146">
        <v>22800</v>
      </c>
      <c r="T16" s="146"/>
      <c r="U16" s="125">
        <f>U15</f>
        <v>16.87</v>
      </c>
      <c r="V16" s="98">
        <f t="shared" si="4"/>
        <v>384636</v>
      </c>
      <c r="W16" s="147">
        <f t="shared" si="5"/>
        <v>640207.19999999995</v>
      </c>
      <c r="Y16" s="148" t="s">
        <v>74</v>
      </c>
      <c r="Z16" s="149">
        <f t="shared" si="15"/>
        <v>232</v>
      </c>
      <c r="AA16" s="125">
        <f t="shared" si="16"/>
        <v>1296</v>
      </c>
      <c r="AB16" s="106">
        <f t="shared" si="17"/>
        <v>100</v>
      </c>
      <c r="AC16" s="98">
        <f t="shared" si="6"/>
        <v>255571.20000000001</v>
      </c>
      <c r="AD16" s="145" t="s">
        <v>9</v>
      </c>
      <c r="AE16" s="146">
        <v>22800</v>
      </c>
      <c r="AF16" s="146"/>
      <c r="AG16" s="125">
        <f>AG15</f>
        <v>16.87</v>
      </c>
      <c r="AH16" s="98">
        <f t="shared" si="7"/>
        <v>384636</v>
      </c>
      <c r="AI16" s="147">
        <f t="shared" si="8"/>
        <v>640207.19999999995</v>
      </c>
    </row>
    <row r="17" spans="1:35" s="83" customFormat="1" ht="30" customHeight="1" x14ac:dyDescent="0.15">
      <c r="A17" s="232" t="s">
        <v>75</v>
      </c>
      <c r="B17" s="233">
        <f t="shared" si="9"/>
        <v>232</v>
      </c>
      <c r="C17" s="234">
        <f t="shared" si="10"/>
        <v>2008.8</v>
      </c>
      <c r="D17" s="235">
        <f t="shared" si="11"/>
        <v>100</v>
      </c>
      <c r="E17" s="228">
        <f t="shared" si="0"/>
        <v>396135.36</v>
      </c>
      <c r="F17" s="229" t="s">
        <v>9</v>
      </c>
      <c r="G17" s="230">
        <v>27258</v>
      </c>
      <c r="H17" s="230"/>
      <c r="I17" s="234">
        <f>I16</f>
        <v>11.87</v>
      </c>
      <c r="J17" s="228">
        <f t="shared" si="1"/>
        <v>323552.46000000002</v>
      </c>
      <c r="K17" s="231">
        <f t="shared" si="2"/>
        <v>719687.82</v>
      </c>
      <c r="M17" s="148" t="s">
        <v>75</v>
      </c>
      <c r="N17" s="149">
        <f t="shared" si="12"/>
        <v>232</v>
      </c>
      <c r="O17" s="125">
        <f t="shared" si="13"/>
        <v>1296</v>
      </c>
      <c r="P17" s="106">
        <f t="shared" si="14"/>
        <v>100</v>
      </c>
      <c r="Q17" s="98">
        <f t="shared" si="3"/>
        <v>255571.20000000001</v>
      </c>
      <c r="R17" s="145" t="s">
        <v>9</v>
      </c>
      <c r="S17" s="146">
        <v>27258</v>
      </c>
      <c r="T17" s="146"/>
      <c r="U17" s="125">
        <f>U16</f>
        <v>16.87</v>
      </c>
      <c r="V17" s="98">
        <f t="shared" si="4"/>
        <v>459842.46</v>
      </c>
      <c r="W17" s="147">
        <f t="shared" si="5"/>
        <v>715413.66</v>
      </c>
      <c r="Y17" s="148" t="s">
        <v>75</v>
      </c>
      <c r="Z17" s="149">
        <f t="shared" si="15"/>
        <v>232</v>
      </c>
      <c r="AA17" s="125">
        <f t="shared" si="16"/>
        <v>1296</v>
      </c>
      <c r="AB17" s="106">
        <f t="shared" si="17"/>
        <v>100</v>
      </c>
      <c r="AC17" s="98">
        <f t="shared" si="6"/>
        <v>255571.20000000001</v>
      </c>
      <c r="AD17" s="145" t="s">
        <v>9</v>
      </c>
      <c r="AE17" s="146">
        <v>27258</v>
      </c>
      <c r="AF17" s="146"/>
      <c r="AG17" s="125">
        <f>AG16</f>
        <v>16.87</v>
      </c>
      <c r="AH17" s="98">
        <f t="shared" si="7"/>
        <v>459842.46</v>
      </c>
      <c r="AI17" s="147">
        <f t="shared" si="8"/>
        <v>715413.66</v>
      </c>
    </row>
    <row r="18" spans="1:35" s="83" customFormat="1" ht="30" customHeight="1" x14ac:dyDescent="0.15">
      <c r="A18" s="232" t="s">
        <v>76</v>
      </c>
      <c r="B18" s="233">
        <f t="shared" si="9"/>
        <v>232</v>
      </c>
      <c r="C18" s="234">
        <f t="shared" si="10"/>
        <v>2008.8</v>
      </c>
      <c r="D18" s="235">
        <f t="shared" si="11"/>
        <v>100</v>
      </c>
      <c r="E18" s="228">
        <f t="shared" si="0"/>
        <v>396135.36</v>
      </c>
      <c r="F18" s="229" t="s">
        <v>9</v>
      </c>
      <c r="G18" s="230">
        <v>39090</v>
      </c>
      <c r="H18" s="230"/>
      <c r="I18" s="234">
        <f>I17</f>
        <v>11.87</v>
      </c>
      <c r="J18" s="228">
        <f t="shared" si="1"/>
        <v>463998.3</v>
      </c>
      <c r="K18" s="231">
        <f t="shared" si="2"/>
        <v>860133.66</v>
      </c>
      <c r="M18" s="148" t="s">
        <v>76</v>
      </c>
      <c r="N18" s="149">
        <f t="shared" si="12"/>
        <v>232</v>
      </c>
      <c r="O18" s="125">
        <f t="shared" si="13"/>
        <v>1296</v>
      </c>
      <c r="P18" s="106">
        <f t="shared" si="14"/>
        <v>100</v>
      </c>
      <c r="Q18" s="98">
        <f t="shared" si="3"/>
        <v>255571.20000000001</v>
      </c>
      <c r="R18" s="145" t="s">
        <v>9</v>
      </c>
      <c r="S18" s="146">
        <v>39090</v>
      </c>
      <c r="T18" s="146"/>
      <c r="U18" s="125">
        <f>U17</f>
        <v>16.87</v>
      </c>
      <c r="V18" s="98">
        <f t="shared" si="4"/>
        <v>659448.30000000005</v>
      </c>
      <c r="W18" s="147">
        <f t="shared" si="5"/>
        <v>915019.5</v>
      </c>
      <c r="Y18" s="148" t="s">
        <v>76</v>
      </c>
      <c r="Z18" s="149">
        <f t="shared" si="15"/>
        <v>232</v>
      </c>
      <c r="AA18" s="125">
        <f t="shared" si="16"/>
        <v>1296</v>
      </c>
      <c r="AB18" s="106">
        <f t="shared" si="17"/>
        <v>100</v>
      </c>
      <c r="AC18" s="98">
        <f t="shared" si="6"/>
        <v>255571.20000000001</v>
      </c>
      <c r="AD18" s="145" t="s">
        <v>9</v>
      </c>
      <c r="AE18" s="146">
        <v>39090</v>
      </c>
      <c r="AF18" s="146"/>
      <c r="AG18" s="125">
        <f>AG17</f>
        <v>16.87</v>
      </c>
      <c r="AH18" s="98">
        <f t="shared" si="7"/>
        <v>659448.30000000005</v>
      </c>
      <c r="AI18" s="147">
        <f t="shared" si="8"/>
        <v>915019.5</v>
      </c>
    </row>
    <row r="19" spans="1:35" s="83" customFormat="1" ht="30" customHeight="1" x14ac:dyDescent="0.15">
      <c r="A19" s="232" t="s">
        <v>77</v>
      </c>
      <c r="B19" s="233">
        <f t="shared" si="9"/>
        <v>232</v>
      </c>
      <c r="C19" s="234">
        <f t="shared" si="10"/>
        <v>2008.8</v>
      </c>
      <c r="D19" s="235">
        <f t="shared" si="11"/>
        <v>100</v>
      </c>
      <c r="E19" s="228">
        <f t="shared" si="0"/>
        <v>396135.36</v>
      </c>
      <c r="F19" s="229" t="s">
        <v>71</v>
      </c>
      <c r="G19" s="230">
        <v>48132</v>
      </c>
      <c r="H19" s="230"/>
      <c r="I19" s="226">
        <v>12.78</v>
      </c>
      <c r="J19" s="228">
        <f t="shared" si="1"/>
        <v>615126.96</v>
      </c>
      <c r="K19" s="231">
        <f t="shared" si="2"/>
        <v>1011262.32</v>
      </c>
      <c r="M19" s="148" t="s">
        <v>77</v>
      </c>
      <c r="N19" s="149">
        <f t="shared" si="12"/>
        <v>232</v>
      </c>
      <c r="O19" s="125">
        <f t="shared" si="13"/>
        <v>1296</v>
      </c>
      <c r="P19" s="106">
        <f t="shared" si="14"/>
        <v>100</v>
      </c>
      <c r="Q19" s="98">
        <f t="shared" si="3"/>
        <v>255571.20000000001</v>
      </c>
      <c r="R19" s="145" t="s">
        <v>71</v>
      </c>
      <c r="S19" s="146">
        <v>48132</v>
      </c>
      <c r="T19" s="146"/>
      <c r="U19" s="124">
        <v>18.29</v>
      </c>
      <c r="V19" s="98">
        <f t="shared" si="4"/>
        <v>880334.28</v>
      </c>
      <c r="W19" s="147">
        <f t="shared" si="5"/>
        <v>1135905.48</v>
      </c>
      <c r="Y19" s="148" t="s">
        <v>77</v>
      </c>
      <c r="Z19" s="149">
        <f t="shared" si="15"/>
        <v>232</v>
      </c>
      <c r="AA19" s="125">
        <f t="shared" si="16"/>
        <v>1296</v>
      </c>
      <c r="AB19" s="106">
        <f t="shared" si="17"/>
        <v>100</v>
      </c>
      <c r="AC19" s="98">
        <f t="shared" si="6"/>
        <v>255571.20000000001</v>
      </c>
      <c r="AD19" s="145" t="s">
        <v>71</v>
      </c>
      <c r="AE19" s="146">
        <v>48132</v>
      </c>
      <c r="AF19" s="146"/>
      <c r="AG19" s="124">
        <v>18.29</v>
      </c>
      <c r="AH19" s="98">
        <f t="shared" si="7"/>
        <v>880334.28</v>
      </c>
      <c r="AI19" s="147">
        <f t="shared" si="8"/>
        <v>1135905.48</v>
      </c>
    </row>
    <row r="20" spans="1:35" s="83" customFormat="1" ht="30" customHeight="1" x14ac:dyDescent="0.15">
      <c r="A20" s="232" t="s">
        <v>78</v>
      </c>
      <c r="B20" s="233">
        <f t="shared" si="9"/>
        <v>232</v>
      </c>
      <c r="C20" s="234">
        <f t="shared" si="10"/>
        <v>2008.8</v>
      </c>
      <c r="D20" s="235">
        <f t="shared" si="11"/>
        <v>100</v>
      </c>
      <c r="E20" s="228">
        <f t="shared" si="0"/>
        <v>396135.36</v>
      </c>
      <c r="F20" s="229" t="s">
        <v>71</v>
      </c>
      <c r="G20" s="230">
        <v>46530</v>
      </c>
      <c r="H20" s="230"/>
      <c r="I20" s="234">
        <f>I19</f>
        <v>12.78</v>
      </c>
      <c r="J20" s="228">
        <f t="shared" si="1"/>
        <v>594653.4</v>
      </c>
      <c r="K20" s="231">
        <f t="shared" si="2"/>
        <v>990788.76</v>
      </c>
      <c r="M20" s="148" t="s">
        <v>78</v>
      </c>
      <c r="N20" s="149">
        <f t="shared" si="12"/>
        <v>232</v>
      </c>
      <c r="O20" s="125">
        <f t="shared" si="13"/>
        <v>1296</v>
      </c>
      <c r="P20" s="106">
        <f t="shared" si="14"/>
        <v>100</v>
      </c>
      <c r="Q20" s="98">
        <f t="shared" si="3"/>
        <v>255571.20000000001</v>
      </c>
      <c r="R20" s="145" t="s">
        <v>71</v>
      </c>
      <c r="S20" s="146">
        <v>46530</v>
      </c>
      <c r="T20" s="146"/>
      <c r="U20" s="125">
        <f>U19</f>
        <v>18.29</v>
      </c>
      <c r="V20" s="98">
        <f t="shared" si="4"/>
        <v>851033.7</v>
      </c>
      <c r="W20" s="147">
        <f t="shared" si="5"/>
        <v>1106604.8999999999</v>
      </c>
      <c r="Y20" s="148" t="s">
        <v>78</v>
      </c>
      <c r="Z20" s="149">
        <f t="shared" si="15"/>
        <v>232</v>
      </c>
      <c r="AA20" s="125">
        <f t="shared" si="16"/>
        <v>1296</v>
      </c>
      <c r="AB20" s="106">
        <f t="shared" si="17"/>
        <v>100</v>
      </c>
      <c r="AC20" s="98">
        <f t="shared" si="6"/>
        <v>255571.20000000001</v>
      </c>
      <c r="AD20" s="145" t="s">
        <v>71</v>
      </c>
      <c r="AE20" s="146">
        <v>46530</v>
      </c>
      <c r="AF20" s="146"/>
      <c r="AG20" s="125">
        <f>AG19</f>
        <v>18.29</v>
      </c>
      <c r="AH20" s="98">
        <f t="shared" si="7"/>
        <v>851033.7</v>
      </c>
      <c r="AI20" s="147">
        <f t="shared" si="8"/>
        <v>1106604.8999999999</v>
      </c>
    </row>
    <row r="21" spans="1:35" s="83" customFormat="1" ht="30" customHeight="1" x14ac:dyDescent="0.15">
      <c r="A21" s="232" t="s">
        <v>79</v>
      </c>
      <c r="B21" s="233">
        <f t="shared" si="9"/>
        <v>232</v>
      </c>
      <c r="C21" s="234">
        <f t="shared" si="10"/>
        <v>2008.8</v>
      </c>
      <c r="D21" s="235">
        <f t="shared" si="11"/>
        <v>100</v>
      </c>
      <c r="E21" s="228">
        <f t="shared" si="0"/>
        <v>396135.36</v>
      </c>
      <c r="F21" s="229" t="s">
        <v>71</v>
      </c>
      <c r="G21" s="230">
        <f>28446+7398</f>
        <v>35844</v>
      </c>
      <c r="H21" s="230"/>
      <c r="I21" s="234">
        <f>I20</f>
        <v>12.78</v>
      </c>
      <c r="J21" s="228">
        <f t="shared" si="1"/>
        <v>458086.32</v>
      </c>
      <c r="K21" s="231">
        <f t="shared" si="2"/>
        <v>854221.68</v>
      </c>
      <c r="M21" s="148" t="s">
        <v>79</v>
      </c>
      <c r="N21" s="149">
        <f t="shared" si="12"/>
        <v>232</v>
      </c>
      <c r="O21" s="125">
        <f t="shared" si="13"/>
        <v>1296</v>
      </c>
      <c r="P21" s="106">
        <f t="shared" si="14"/>
        <v>100</v>
      </c>
      <c r="Q21" s="98">
        <f t="shared" si="3"/>
        <v>255571.20000000001</v>
      </c>
      <c r="R21" s="145" t="s">
        <v>71</v>
      </c>
      <c r="S21" s="146">
        <f>28446+7398</f>
        <v>35844</v>
      </c>
      <c r="T21" s="146"/>
      <c r="U21" s="125">
        <f>U20</f>
        <v>18.29</v>
      </c>
      <c r="V21" s="98">
        <f t="shared" si="4"/>
        <v>655586.76</v>
      </c>
      <c r="W21" s="147">
        <f t="shared" si="5"/>
        <v>911157.96</v>
      </c>
      <c r="Y21" s="148" t="s">
        <v>79</v>
      </c>
      <c r="Z21" s="149">
        <f t="shared" si="15"/>
        <v>232</v>
      </c>
      <c r="AA21" s="125">
        <f t="shared" si="16"/>
        <v>1296</v>
      </c>
      <c r="AB21" s="106">
        <f t="shared" si="17"/>
        <v>100</v>
      </c>
      <c r="AC21" s="98">
        <f t="shared" si="6"/>
        <v>255571.20000000001</v>
      </c>
      <c r="AD21" s="145" t="s">
        <v>71</v>
      </c>
      <c r="AE21" s="146">
        <f>28446+7398</f>
        <v>35844</v>
      </c>
      <c r="AF21" s="146"/>
      <c r="AG21" s="125">
        <f>AG20</f>
        <v>18.29</v>
      </c>
      <c r="AH21" s="98">
        <f t="shared" si="7"/>
        <v>655586.76</v>
      </c>
      <c r="AI21" s="147">
        <f t="shared" si="8"/>
        <v>911157.96</v>
      </c>
    </row>
    <row r="22" spans="1:35" s="83" customFormat="1" ht="30" customHeight="1" x14ac:dyDescent="0.15">
      <c r="A22" s="232" t="s">
        <v>80</v>
      </c>
      <c r="B22" s="233">
        <f t="shared" si="9"/>
        <v>232</v>
      </c>
      <c r="C22" s="234">
        <f t="shared" si="10"/>
        <v>2008.8</v>
      </c>
      <c r="D22" s="235">
        <f t="shared" si="11"/>
        <v>100</v>
      </c>
      <c r="E22" s="228">
        <f t="shared" si="0"/>
        <v>396135.36</v>
      </c>
      <c r="F22" s="229" t="s">
        <v>9</v>
      </c>
      <c r="G22" s="230">
        <v>25038</v>
      </c>
      <c r="H22" s="230"/>
      <c r="I22" s="234">
        <f>I13</f>
        <v>11.87</v>
      </c>
      <c r="J22" s="228">
        <f t="shared" si="1"/>
        <v>297201.06</v>
      </c>
      <c r="K22" s="231">
        <f t="shared" si="2"/>
        <v>693336.42</v>
      </c>
      <c r="M22" s="148" t="s">
        <v>80</v>
      </c>
      <c r="N22" s="149">
        <f t="shared" si="12"/>
        <v>232</v>
      </c>
      <c r="O22" s="125">
        <f t="shared" si="13"/>
        <v>1296</v>
      </c>
      <c r="P22" s="106">
        <f t="shared" si="14"/>
        <v>100</v>
      </c>
      <c r="Q22" s="98">
        <f t="shared" si="3"/>
        <v>255571.20000000001</v>
      </c>
      <c r="R22" s="145" t="s">
        <v>9</v>
      </c>
      <c r="S22" s="146">
        <v>25038</v>
      </c>
      <c r="T22" s="146"/>
      <c r="U22" s="125">
        <f>U13</f>
        <v>16.87</v>
      </c>
      <c r="V22" s="98">
        <f t="shared" si="4"/>
        <v>422391.06</v>
      </c>
      <c r="W22" s="147">
        <f t="shared" si="5"/>
        <v>677962.26</v>
      </c>
      <c r="Y22" s="148" t="s">
        <v>80</v>
      </c>
      <c r="Z22" s="149">
        <f t="shared" si="15"/>
        <v>232</v>
      </c>
      <c r="AA22" s="125">
        <f t="shared" si="16"/>
        <v>1296</v>
      </c>
      <c r="AB22" s="106">
        <f t="shared" si="17"/>
        <v>100</v>
      </c>
      <c r="AC22" s="98">
        <f t="shared" si="6"/>
        <v>255571.20000000001</v>
      </c>
      <c r="AD22" s="145" t="s">
        <v>9</v>
      </c>
      <c r="AE22" s="146">
        <v>25038</v>
      </c>
      <c r="AF22" s="146"/>
      <c r="AG22" s="125">
        <f>AG13</f>
        <v>16.87</v>
      </c>
      <c r="AH22" s="98">
        <f t="shared" si="7"/>
        <v>422391.06</v>
      </c>
      <c r="AI22" s="147">
        <f t="shared" si="8"/>
        <v>677962.26</v>
      </c>
    </row>
    <row r="23" spans="1:35" s="83" customFormat="1" ht="30" customHeight="1" x14ac:dyDescent="0.15">
      <c r="A23" s="232" t="s">
        <v>81</v>
      </c>
      <c r="B23" s="233">
        <f t="shared" si="9"/>
        <v>232</v>
      </c>
      <c r="C23" s="234">
        <f t="shared" si="10"/>
        <v>2008.8</v>
      </c>
      <c r="D23" s="235">
        <f t="shared" si="11"/>
        <v>100</v>
      </c>
      <c r="E23" s="228">
        <f t="shared" si="0"/>
        <v>396135.36</v>
      </c>
      <c r="F23" s="229" t="s">
        <v>9</v>
      </c>
      <c r="G23" s="230">
        <v>30000</v>
      </c>
      <c r="H23" s="230"/>
      <c r="I23" s="236">
        <f>I22</f>
        <v>11.87</v>
      </c>
      <c r="J23" s="228">
        <f t="shared" si="1"/>
        <v>356100</v>
      </c>
      <c r="K23" s="231">
        <f t="shared" si="2"/>
        <v>752235.36</v>
      </c>
      <c r="M23" s="148" t="s">
        <v>81</v>
      </c>
      <c r="N23" s="149">
        <f t="shared" si="12"/>
        <v>232</v>
      </c>
      <c r="O23" s="125">
        <f t="shared" si="13"/>
        <v>1296</v>
      </c>
      <c r="P23" s="106">
        <f t="shared" si="14"/>
        <v>100</v>
      </c>
      <c r="Q23" s="98">
        <f t="shared" si="3"/>
        <v>255571.20000000001</v>
      </c>
      <c r="R23" s="145" t="s">
        <v>9</v>
      </c>
      <c r="S23" s="146">
        <v>30000</v>
      </c>
      <c r="T23" s="146"/>
      <c r="U23" s="127">
        <f>U22</f>
        <v>16.87</v>
      </c>
      <c r="V23" s="98">
        <f t="shared" si="4"/>
        <v>506100</v>
      </c>
      <c r="W23" s="147">
        <f t="shared" si="5"/>
        <v>761671.2</v>
      </c>
      <c r="Y23" s="148" t="s">
        <v>81</v>
      </c>
      <c r="Z23" s="149">
        <f t="shared" si="15"/>
        <v>232</v>
      </c>
      <c r="AA23" s="125">
        <f t="shared" si="16"/>
        <v>1296</v>
      </c>
      <c r="AB23" s="106">
        <f t="shared" si="17"/>
        <v>100</v>
      </c>
      <c r="AC23" s="98">
        <f t="shared" si="6"/>
        <v>255571.20000000001</v>
      </c>
      <c r="AD23" s="145" t="s">
        <v>9</v>
      </c>
      <c r="AE23" s="146">
        <v>30000</v>
      </c>
      <c r="AF23" s="146"/>
      <c r="AG23" s="127">
        <f>AG22</f>
        <v>16.87</v>
      </c>
      <c r="AH23" s="98">
        <f t="shared" si="7"/>
        <v>506100</v>
      </c>
      <c r="AI23" s="147">
        <f t="shared" si="8"/>
        <v>761671.2</v>
      </c>
    </row>
    <row r="24" spans="1:35" s="83" customFormat="1" ht="30" customHeight="1" thickBot="1" x14ac:dyDescent="0.2">
      <c r="A24" s="237" t="s">
        <v>82</v>
      </c>
      <c r="B24" s="238">
        <f t="shared" si="9"/>
        <v>232</v>
      </c>
      <c r="C24" s="239">
        <f t="shared" si="10"/>
        <v>2008.8</v>
      </c>
      <c r="D24" s="238">
        <f t="shared" si="11"/>
        <v>100</v>
      </c>
      <c r="E24" s="240">
        <f t="shared" si="0"/>
        <v>396135.36</v>
      </c>
      <c r="F24" s="241" t="s">
        <v>9</v>
      </c>
      <c r="G24" s="242">
        <v>28656</v>
      </c>
      <c r="H24" s="242"/>
      <c r="I24" s="239">
        <f>I23</f>
        <v>11.87</v>
      </c>
      <c r="J24" s="240">
        <f t="shared" si="1"/>
        <v>340146.72</v>
      </c>
      <c r="K24" s="243">
        <f t="shared" si="2"/>
        <v>736282.08</v>
      </c>
      <c r="L24" s="89"/>
      <c r="M24" s="150" t="s">
        <v>82</v>
      </c>
      <c r="N24" s="151">
        <f t="shared" si="12"/>
        <v>232</v>
      </c>
      <c r="O24" s="126">
        <f t="shared" si="13"/>
        <v>1296</v>
      </c>
      <c r="P24" s="152">
        <f t="shared" si="14"/>
        <v>100</v>
      </c>
      <c r="Q24" s="99">
        <f t="shared" si="3"/>
        <v>255571.20000000001</v>
      </c>
      <c r="R24" s="153" t="s">
        <v>9</v>
      </c>
      <c r="S24" s="154">
        <v>28656</v>
      </c>
      <c r="T24" s="154"/>
      <c r="U24" s="126">
        <f>U23</f>
        <v>16.87</v>
      </c>
      <c r="V24" s="99">
        <f t="shared" si="4"/>
        <v>483426.72</v>
      </c>
      <c r="W24" s="155">
        <f t="shared" si="5"/>
        <v>738997.92</v>
      </c>
      <c r="X24" s="89"/>
      <c r="Y24" s="150" t="s">
        <v>82</v>
      </c>
      <c r="Z24" s="151">
        <f t="shared" si="15"/>
        <v>232</v>
      </c>
      <c r="AA24" s="126">
        <f t="shared" si="16"/>
        <v>1296</v>
      </c>
      <c r="AB24" s="152">
        <f t="shared" si="17"/>
        <v>100</v>
      </c>
      <c r="AC24" s="99">
        <f t="shared" si="6"/>
        <v>255571.20000000001</v>
      </c>
      <c r="AD24" s="153" t="s">
        <v>9</v>
      </c>
      <c r="AE24" s="154">
        <v>28656</v>
      </c>
      <c r="AF24" s="154"/>
      <c r="AG24" s="126">
        <f>AG23</f>
        <v>16.87</v>
      </c>
      <c r="AH24" s="99">
        <f t="shared" si="7"/>
        <v>483426.72</v>
      </c>
      <c r="AI24" s="155">
        <f t="shared" si="8"/>
        <v>738997.92</v>
      </c>
    </row>
    <row r="25" spans="1:35" s="83" customFormat="1" ht="30" customHeight="1" thickBot="1" x14ac:dyDescent="0.2">
      <c r="A25" s="244" t="s">
        <v>41</v>
      </c>
      <c r="B25" s="245"/>
      <c r="C25" s="245"/>
      <c r="D25" s="245"/>
      <c r="E25" s="246">
        <f>SUM(E13:E24)</f>
        <v>4753624.3199999994</v>
      </c>
      <c r="F25" s="247"/>
      <c r="G25" s="248">
        <f>SUM(G13:G24)</f>
        <v>433432</v>
      </c>
      <c r="H25" s="248"/>
      <c r="I25" s="245"/>
      <c r="J25" s="246">
        <f>SUM(J13:J24)</f>
        <v>5263598.2999999989</v>
      </c>
      <c r="K25" s="249">
        <f>SUM(K13:K24)</f>
        <v>10017222.619999999</v>
      </c>
      <c r="L25" s="89" t="s">
        <v>113</v>
      </c>
      <c r="M25" s="156" t="s">
        <v>41</v>
      </c>
      <c r="N25" s="157"/>
      <c r="O25" s="157"/>
      <c r="P25" s="157"/>
      <c r="Q25" s="158">
        <f>SUM(Q13:Q24)</f>
        <v>3066854.4000000004</v>
      </c>
      <c r="R25" s="159"/>
      <c r="S25" s="160">
        <f>SUM(S13:S24)</f>
        <v>433432</v>
      </c>
      <c r="T25" s="160"/>
      <c r="U25" s="157"/>
      <c r="V25" s="158">
        <f>SUM(V13:V24)</f>
        <v>7497316.3599999994</v>
      </c>
      <c r="W25" s="161">
        <f>SUM(W13:W24)</f>
        <v>10564170.76</v>
      </c>
      <c r="X25" s="89" t="s">
        <v>113</v>
      </c>
      <c r="Y25" s="156" t="s">
        <v>41</v>
      </c>
      <c r="Z25" s="157"/>
      <c r="AA25" s="157"/>
      <c r="AB25" s="157"/>
      <c r="AC25" s="158">
        <f>SUM(AC13:AC24)</f>
        <v>3066854.4000000004</v>
      </c>
      <c r="AD25" s="159"/>
      <c r="AE25" s="160">
        <f>SUM(AE13:AE24)</f>
        <v>433432</v>
      </c>
      <c r="AF25" s="160"/>
      <c r="AG25" s="157"/>
      <c r="AH25" s="158">
        <f>SUM(AH13:AH24)</f>
        <v>7497316.3599999994</v>
      </c>
      <c r="AI25" s="161">
        <f>SUM(AI13:AI24)</f>
        <v>10564170.76</v>
      </c>
    </row>
    <row r="26" spans="1:35" ht="15" customHeight="1" x14ac:dyDescent="0.15">
      <c r="A26" s="214"/>
      <c r="B26" s="250"/>
      <c r="C26" s="250"/>
      <c r="D26" s="250"/>
      <c r="E26" s="250"/>
      <c r="F26" s="250"/>
      <c r="G26" s="250"/>
      <c r="H26" s="250"/>
      <c r="I26" s="250"/>
      <c r="J26" s="250"/>
      <c r="K26" s="250"/>
      <c r="L26" s="2"/>
      <c r="N26" s="162"/>
      <c r="O26" s="162"/>
      <c r="P26" s="162"/>
      <c r="Q26" s="162"/>
      <c r="R26" s="162"/>
      <c r="S26" s="162"/>
      <c r="T26" s="162"/>
      <c r="U26" s="162"/>
      <c r="V26" s="162"/>
      <c r="W26" s="162"/>
      <c r="X26" s="2"/>
      <c r="Z26" s="162"/>
      <c r="AA26" s="162"/>
      <c r="AB26" s="162"/>
      <c r="AC26" s="162"/>
      <c r="AD26" s="162"/>
      <c r="AE26" s="162"/>
      <c r="AF26" s="162"/>
      <c r="AG26" s="162"/>
      <c r="AH26" s="162"/>
      <c r="AI26" s="162"/>
    </row>
    <row r="27" spans="1:35" x14ac:dyDescent="0.15">
      <c r="A27" s="211" t="s">
        <v>153</v>
      </c>
      <c r="B27" s="212">
        <f>B2+1</f>
        <v>2</v>
      </c>
      <c r="C27" s="213"/>
      <c r="D27" s="213"/>
      <c r="E27" s="213"/>
      <c r="F27" s="213"/>
      <c r="G27" s="213"/>
      <c r="H27" s="213"/>
      <c r="I27" s="213"/>
      <c r="J27" s="213"/>
      <c r="K27" s="692" t="str">
        <f>IF(K50-W50&lt;=0,"現状のまま","メニュー変更")</f>
        <v>現状のまま</v>
      </c>
      <c r="L27" s="2"/>
      <c r="M27" s="47" t="s">
        <v>153</v>
      </c>
      <c r="N27" s="62">
        <f>N2+1</f>
        <v>2</v>
      </c>
      <c r="X27" s="2"/>
      <c r="Y27" s="47" t="s">
        <v>153</v>
      </c>
      <c r="Z27" s="62">
        <f>Z2+1</f>
        <v>2</v>
      </c>
    </row>
    <row r="28" spans="1:35" x14ac:dyDescent="0.15">
      <c r="A28" s="214"/>
      <c r="B28" s="213"/>
      <c r="C28" s="213"/>
      <c r="D28" s="213"/>
      <c r="E28" s="213"/>
      <c r="F28" s="213"/>
      <c r="G28" s="213"/>
      <c r="H28" s="213"/>
      <c r="I28" s="213"/>
      <c r="J28" s="213"/>
      <c r="K28" s="692"/>
      <c r="L28" s="2"/>
      <c r="X28" s="2"/>
    </row>
    <row r="29" spans="1:35" x14ac:dyDescent="0.15">
      <c r="A29" s="214"/>
      <c r="B29" s="213"/>
      <c r="C29" s="213"/>
      <c r="D29" s="213"/>
      <c r="E29" s="213"/>
      <c r="F29" s="213"/>
      <c r="G29" s="213"/>
      <c r="H29" s="213"/>
      <c r="I29" s="213"/>
      <c r="J29" s="213"/>
      <c r="K29" s="692"/>
      <c r="L29" s="1"/>
      <c r="W29" s="64"/>
      <c r="X29" s="1"/>
      <c r="AI29" s="64"/>
    </row>
    <row r="30" spans="1:35" ht="17.25" x14ac:dyDescent="0.15">
      <c r="A30" s="694" t="str">
        <f>$A$5</f>
        <v>平成29年度小郡市役所庁舎外25施設電力需給</v>
      </c>
      <c r="B30" s="694"/>
      <c r="C30" s="694"/>
      <c r="D30" s="694"/>
      <c r="E30" s="694"/>
      <c r="F30" s="694"/>
      <c r="G30" s="694"/>
      <c r="H30" s="694"/>
      <c r="I30" s="694"/>
      <c r="J30" s="694"/>
      <c r="K30" s="694"/>
      <c r="L30" s="2"/>
      <c r="M30" s="553" t="str">
        <f>$A$5</f>
        <v>平成29年度小郡市役所庁舎外25施設電力需給</v>
      </c>
      <c r="N30" s="553"/>
      <c r="O30" s="553"/>
      <c r="P30" s="553"/>
      <c r="Q30" s="553"/>
      <c r="R30" s="553"/>
      <c r="S30" s="553"/>
      <c r="T30" s="553"/>
      <c r="U30" s="553"/>
      <c r="V30" s="553"/>
      <c r="W30" s="553"/>
      <c r="X30" s="2"/>
      <c r="Y30" s="553" t="str">
        <f>$A$5</f>
        <v>平成29年度小郡市役所庁舎外25施設電力需給</v>
      </c>
      <c r="Z30" s="553"/>
      <c r="AA30" s="553"/>
      <c r="AB30" s="553"/>
      <c r="AC30" s="553"/>
      <c r="AD30" s="553"/>
      <c r="AE30" s="553"/>
      <c r="AF30" s="553"/>
      <c r="AG30" s="553"/>
      <c r="AH30" s="553"/>
      <c r="AI30" s="553"/>
    </row>
    <row r="31" spans="1:35" x14ac:dyDescent="0.15">
      <c r="A31" s="689" t="str">
        <f>$A$6</f>
        <v>（平成３０年１月～平成３０年１２月期間中の予定金額）</v>
      </c>
      <c r="B31" s="689"/>
      <c r="C31" s="689"/>
      <c r="D31" s="689"/>
      <c r="E31" s="689"/>
      <c r="F31" s="689"/>
      <c r="G31" s="689"/>
      <c r="H31" s="689"/>
      <c r="I31" s="689"/>
      <c r="J31" s="689"/>
      <c r="K31" s="689"/>
      <c r="L31" s="2"/>
      <c r="M31" s="555" t="str">
        <f>$A$6</f>
        <v>（平成３０年１月～平成３０年１２月期間中の予定金額）</v>
      </c>
      <c r="N31" s="555"/>
      <c r="O31" s="555"/>
      <c r="P31" s="555"/>
      <c r="Q31" s="555"/>
      <c r="R31" s="555"/>
      <c r="S31" s="555"/>
      <c r="T31" s="555"/>
      <c r="U31" s="555"/>
      <c r="V31" s="555"/>
      <c r="W31" s="555"/>
      <c r="X31" s="2"/>
      <c r="Y31" s="555" t="str">
        <f>$A$6</f>
        <v>（平成３０年１月～平成３０年１２月期間中の予定金額）</v>
      </c>
      <c r="Z31" s="555"/>
      <c r="AA31" s="555"/>
      <c r="AB31" s="555"/>
      <c r="AC31" s="555"/>
      <c r="AD31" s="555"/>
      <c r="AE31" s="555"/>
      <c r="AF31" s="555"/>
      <c r="AG31" s="555"/>
      <c r="AH31" s="555"/>
      <c r="AI31" s="555"/>
    </row>
    <row r="32" spans="1:35" ht="14.25" thickBot="1" x14ac:dyDescent="0.2">
      <c r="A32" s="215" t="s">
        <v>130</v>
      </c>
      <c r="B32" s="215"/>
      <c r="C32" s="213"/>
      <c r="D32" s="213"/>
      <c r="E32" s="213"/>
      <c r="F32" s="213"/>
      <c r="G32" s="213"/>
      <c r="H32" s="213"/>
      <c r="I32" s="213"/>
      <c r="J32" s="213"/>
      <c r="K32" s="211" t="s">
        <v>84</v>
      </c>
      <c r="L32" s="2"/>
      <c r="M32" s="662" t="s">
        <v>130</v>
      </c>
      <c r="N32" s="662"/>
      <c r="W32" s="47" t="s">
        <v>70</v>
      </c>
      <c r="X32" s="2"/>
      <c r="Y32" s="662" t="s">
        <v>130</v>
      </c>
      <c r="Z32" s="662"/>
      <c r="AI32" s="47" t="s">
        <v>70</v>
      </c>
    </row>
    <row r="33" spans="1:35" ht="18" customHeight="1" thickBot="1" x14ac:dyDescent="0.2">
      <c r="A33" s="695" t="s">
        <v>33</v>
      </c>
      <c r="B33" s="683" t="s">
        <v>24</v>
      </c>
      <c r="C33" s="684"/>
      <c r="D33" s="684"/>
      <c r="E33" s="685"/>
      <c r="F33" s="686" t="s">
        <v>34</v>
      </c>
      <c r="G33" s="687"/>
      <c r="H33" s="687"/>
      <c r="I33" s="687"/>
      <c r="J33" s="688"/>
      <c r="K33" s="667" t="s">
        <v>35</v>
      </c>
      <c r="L33" s="2"/>
      <c r="M33" s="567" t="s">
        <v>33</v>
      </c>
      <c r="N33" s="570" t="s">
        <v>24</v>
      </c>
      <c r="O33" s="571"/>
      <c r="P33" s="571"/>
      <c r="Q33" s="572"/>
      <c r="R33" s="573" t="s">
        <v>34</v>
      </c>
      <c r="S33" s="574"/>
      <c r="T33" s="574"/>
      <c r="U33" s="574"/>
      <c r="V33" s="575"/>
      <c r="W33" s="544" t="s">
        <v>35</v>
      </c>
      <c r="X33" s="2"/>
      <c r="Y33" s="567" t="s">
        <v>33</v>
      </c>
      <c r="Z33" s="570" t="s">
        <v>24</v>
      </c>
      <c r="AA33" s="571"/>
      <c r="AB33" s="571"/>
      <c r="AC33" s="572"/>
      <c r="AD33" s="573" t="s">
        <v>34</v>
      </c>
      <c r="AE33" s="574"/>
      <c r="AF33" s="574"/>
      <c r="AG33" s="574"/>
      <c r="AH33" s="575"/>
      <c r="AI33" s="544" t="s">
        <v>35</v>
      </c>
    </row>
    <row r="34" spans="1:35" ht="13.5" customHeight="1" x14ac:dyDescent="0.15">
      <c r="A34" s="696"/>
      <c r="B34" s="669" t="s">
        <v>28</v>
      </c>
      <c r="C34" s="667" t="s">
        <v>29</v>
      </c>
      <c r="D34" s="669" t="s">
        <v>25</v>
      </c>
      <c r="E34" s="678" t="s">
        <v>31</v>
      </c>
      <c r="F34" s="679" t="s">
        <v>36</v>
      </c>
      <c r="G34" s="680"/>
      <c r="H34" s="216"/>
      <c r="I34" s="667" t="s">
        <v>37</v>
      </c>
      <c r="J34" s="669" t="s">
        <v>38</v>
      </c>
      <c r="K34" s="668"/>
      <c r="L34" s="2"/>
      <c r="M34" s="568"/>
      <c r="N34" s="546" t="s">
        <v>28</v>
      </c>
      <c r="O34" s="544" t="s">
        <v>29</v>
      </c>
      <c r="P34" s="546" t="s">
        <v>25</v>
      </c>
      <c r="Q34" s="582" t="s">
        <v>31</v>
      </c>
      <c r="R34" s="540" t="s">
        <v>36</v>
      </c>
      <c r="S34" s="541"/>
      <c r="T34" s="135"/>
      <c r="U34" s="544" t="s">
        <v>37</v>
      </c>
      <c r="V34" s="546" t="s">
        <v>38</v>
      </c>
      <c r="W34" s="545"/>
      <c r="X34" s="2"/>
      <c r="Y34" s="568"/>
      <c r="Z34" s="546" t="s">
        <v>28</v>
      </c>
      <c r="AA34" s="544" t="s">
        <v>29</v>
      </c>
      <c r="AB34" s="546" t="s">
        <v>25</v>
      </c>
      <c r="AC34" s="582" t="s">
        <v>31</v>
      </c>
      <c r="AD34" s="540" t="s">
        <v>36</v>
      </c>
      <c r="AE34" s="541"/>
      <c r="AF34" s="135"/>
      <c r="AG34" s="544" t="s">
        <v>37</v>
      </c>
      <c r="AH34" s="546" t="s">
        <v>38</v>
      </c>
      <c r="AI34" s="545"/>
    </row>
    <row r="35" spans="1:35" x14ac:dyDescent="0.15">
      <c r="A35" s="696"/>
      <c r="B35" s="669"/>
      <c r="C35" s="668"/>
      <c r="D35" s="669"/>
      <c r="E35" s="669"/>
      <c r="F35" s="681"/>
      <c r="G35" s="682"/>
      <c r="H35" s="217"/>
      <c r="I35" s="668"/>
      <c r="J35" s="669"/>
      <c r="K35" s="668"/>
      <c r="L35" s="2"/>
      <c r="M35" s="568"/>
      <c r="N35" s="546"/>
      <c r="O35" s="545"/>
      <c r="P35" s="546"/>
      <c r="Q35" s="546"/>
      <c r="R35" s="542"/>
      <c r="S35" s="543"/>
      <c r="T35" s="136"/>
      <c r="U35" s="545"/>
      <c r="V35" s="546"/>
      <c r="W35" s="545"/>
      <c r="X35" s="2"/>
      <c r="Y35" s="568"/>
      <c r="Z35" s="546"/>
      <c r="AA35" s="545"/>
      <c r="AB35" s="546"/>
      <c r="AC35" s="546"/>
      <c r="AD35" s="542"/>
      <c r="AE35" s="543"/>
      <c r="AF35" s="136"/>
      <c r="AG35" s="545"/>
      <c r="AH35" s="546"/>
      <c r="AI35" s="545"/>
    </row>
    <row r="36" spans="1:35" ht="23.25" customHeight="1" x14ac:dyDescent="0.15">
      <c r="A36" s="696"/>
      <c r="B36" s="218" t="s">
        <v>13</v>
      </c>
      <c r="C36" s="219" t="s">
        <v>30</v>
      </c>
      <c r="D36" s="218" t="s">
        <v>14</v>
      </c>
      <c r="E36" s="218" t="s">
        <v>40</v>
      </c>
      <c r="F36" s="665" t="s">
        <v>15</v>
      </c>
      <c r="G36" s="666"/>
      <c r="H36" s="220"/>
      <c r="I36" s="219" t="s">
        <v>30</v>
      </c>
      <c r="J36" s="218" t="s">
        <v>40</v>
      </c>
      <c r="K36" s="218" t="s">
        <v>40</v>
      </c>
      <c r="L36" s="2"/>
      <c r="M36" s="568"/>
      <c r="N36" s="137" t="s">
        <v>152</v>
      </c>
      <c r="O36" s="138" t="s">
        <v>30</v>
      </c>
      <c r="P36" s="137" t="s">
        <v>14</v>
      </c>
      <c r="Q36" s="137" t="s">
        <v>40</v>
      </c>
      <c r="R36" s="549" t="s">
        <v>15</v>
      </c>
      <c r="S36" s="550"/>
      <c r="T36" s="139"/>
      <c r="U36" s="138" t="s">
        <v>30</v>
      </c>
      <c r="V36" s="137" t="s">
        <v>40</v>
      </c>
      <c r="W36" s="137" t="s">
        <v>40</v>
      </c>
      <c r="X36" s="2"/>
      <c r="Y36" s="568"/>
      <c r="Z36" s="137" t="s">
        <v>152</v>
      </c>
      <c r="AA36" s="138" t="s">
        <v>30</v>
      </c>
      <c r="AB36" s="137" t="s">
        <v>14</v>
      </c>
      <c r="AC36" s="137" t="s">
        <v>40</v>
      </c>
      <c r="AD36" s="549" t="s">
        <v>15</v>
      </c>
      <c r="AE36" s="550"/>
      <c r="AF36" s="139"/>
      <c r="AG36" s="138" t="s">
        <v>30</v>
      </c>
      <c r="AH36" s="137" t="s">
        <v>40</v>
      </c>
      <c r="AI36" s="137" t="s">
        <v>40</v>
      </c>
    </row>
    <row r="37" spans="1:35" ht="15.75" customHeight="1" thickBot="1" x14ac:dyDescent="0.2">
      <c r="A37" s="697"/>
      <c r="B37" s="221" t="s">
        <v>16</v>
      </c>
      <c r="C37" s="221" t="s">
        <v>17</v>
      </c>
      <c r="D37" s="221" t="s">
        <v>18</v>
      </c>
      <c r="E37" s="221" t="s">
        <v>19</v>
      </c>
      <c r="F37" s="222"/>
      <c r="G37" s="223" t="s">
        <v>20</v>
      </c>
      <c r="H37" s="223"/>
      <c r="I37" s="221" t="s">
        <v>21</v>
      </c>
      <c r="J37" s="221" t="s">
        <v>22</v>
      </c>
      <c r="K37" s="223" t="s">
        <v>23</v>
      </c>
      <c r="L37" s="2"/>
      <c r="M37" s="569"/>
      <c r="N37" s="122" t="s">
        <v>16</v>
      </c>
      <c r="O37" s="122" t="s">
        <v>17</v>
      </c>
      <c r="P37" s="122" t="s">
        <v>18</v>
      </c>
      <c r="Q37" s="122" t="s">
        <v>19</v>
      </c>
      <c r="R37" s="140"/>
      <c r="S37" s="141" t="s">
        <v>20</v>
      </c>
      <c r="T37" s="141"/>
      <c r="U37" s="122" t="s">
        <v>21</v>
      </c>
      <c r="V37" s="122" t="s">
        <v>22</v>
      </c>
      <c r="W37" s="141" t="s">
        <v>23</v>
      </c>
      <c r="X37" s="2"/>
      <c r="Y37" s="569"/>
      <c r="Z37" s="122" t="s">
        <v>16</v>
      </c>
      <c r="AA37" s="122" t="s">
        <v>17</v>
      </c>
      <c r="AB37" s="122" t="s">
        <v>18</v>
      </c>
      <c r="AC37" s="122" t="s">
        <v>19</v>
      </c>
      <c r="AD37" s="140"/>
      <c r="AE37" s="141" t="s">
        <v>20</v>
      </c>
      <c r="AF37" s="141"/>
      <c r="AG37" s="122" t="s">
        <v>21</v>
      </c>
      <c r="AH37" s="122" t="s">
        <v>22</v>
      </c>
      <c r="AI37" s="141" t="s">
        <v>23</v>
      </c>
    </row>
    <row r="38" spans="1:35" ht="30" customHeight="1" x14ac:dyDescent="0.15">
      <c r="A38" s="224" t="s">
        <v>83</v>
      </c>
      <c r="B38" s="225">
        <v>54</v>
      </c>
      <c r="C38" s="226">
        <v>1296</v>
      </c>
      <c r="D38" s="225">
        <v>100</v>
      </c>
      <c r="E38" s="228">
        <f t="shared" ref="E38:E49" si="18">ROUNDDOWN(B38*C38*((185-D38)/100),2)</f>
        <v>59486.400000000001</v>
      </c>
      <c r="F38" s="229" t="s">
        <v>85</v>
      </c>
      <c r="G38" s="230">
        <v>5656</v>
      </c>
      <c r="H38" s="230"/>
      <c r="I38" s="226">
        <v>16.87</v>
      </c>
      <c r="J38" s="228">
        <f t="shared" ref="J38:J49" si="19">ROUNDDOWN(G38*I38,2)</f>
        <v>95416.72</v>
      </c>
      <c r="K38" s="231">
        <f t="shared" ref="K38:K49" si="20">ROUNDDOWN(J38+E38,2)</f>
        <v>154903.12</v>
      </c>
      <c r="L38" s="2"/>
      <c r="M38" s="142" t="s">
        <v>83</v>
      </c>
      <c r="N38" s="143">
        <v>54</v>
      </c>
      <c r="O38" s="123">
        <v>2008.8</v>
      </c>
      <c r="P38" s="163">
        <v>100</v>
      </c>
      <c r="Q38" s="98">
        <f t="shared" ref="Q38:Q49" si="21">ROUNDDOWN(N38*O38*((185-P38)/100),2)</f>
        <v>92203.92</v>
      </c>
      <c r="R38" s="145" t="s">
        <v>85</v>
      </c>
      <c r="S38" s="146">
        <v>5656</v>
      </c>
      <c r="T38" s="146"/>
      <c r="U38" s="124">
        <v>11.87</v>
      </c>
      <c r="V38" s="98">
        <f t="shared" ref="V38:V49" si="22">ROUNDDOWN(S38*U38,2)</f>
        <v>67136.72</v>
      </c>
      <c r="W38" s="147">
        <f t="shared" ref="W38:W49" si="23">ROUNDDOWN(V38+Q38,2)</f>
        <v>159340.64000000001</v>
      </c>
      <c r="X38" s="2"/>
      <c r="Y38" s="142" t="s">
        <v>83</v>
      </c>
      <c r="Z38" s="143">
        <v>54</v>
      </c>
      <c r="AA38" s="123">
        <v>2008.8</v>
      </c>
      <c r="AB38" s="163">
        <v>100</v>
      </c>
      <c r="AC38" s="98">
        <f t="shared" ref="AC38:AC49" si="24">ROUNDDOWN(Z38*AA38*((185-AB38)/100),2)</f>
        <v>92203.92</v>
      </c>
      <c r="AD38" s="145" t="s">
        <v>85</v>
      </c>
      <c r="AE38" s="146">
        <v>5656</v>
      </c>
      <c r="AF38" s="146"/>
      <c r="AG38" s="124">
        <v>11.87</v>
      </c>
      <c r="AH38" s="98">
        <f t="shared" ref="AH38:AH49" si="25">ROUNDDOWN(AE38*AG38,2)</f>
        <v>67136.72</v>
      </c>
      <c r="AI38" s="147">
        <f t="shared" ref="AI38:AI49" si="26">ROUNDDOWN(AH38+AC38,2)</f>
        <v>159340.64000000001</v>
      </c>
    </row>
    <row r="39" spans="1:35" ht="30" customHeight="1" x14ac:dyDescent="0.15">
      <c r="A39" s="232" t="s">
        <v>72</v>
      </c>
      <c r="B39" s="233">
        <f t="shared" ref="B39:B49" si="27">B38</f>
        <v>54</v>
      </c>
      <c r="C39" s="234">
        <f t="shared" ref="C39:C49" si="28">C38</f>
        <v>1296</v>
      </c>
      <c r="D39" s="235">
        <f t="shared" ref="D39:D49" si="29">D38</f>
        <v>100</v>
      </c>
      <c r="E39" s="228">
        <f t="shared" si="18"/>
        <v>59486.400000000001</v>
      </c>
      <c r="F39" s="229" t="s">
        <v>112</v>
      </c>
      <c r="G39" s="230">
        <v>5359</v>
      </c>
      <c r="H39" s="230"/>
      <c r="I39" s="234">
        <f>I38</f>
        <v>16.87</v>
      </c>
      <c r="J39" s="228">
        <f t="shared" si="19"/>
        <v>90406.33</v>
      </c>
      <c r="K39" s="231">
        <f t="shared" si="20"/>
        <v>149892.73000000001</v>
      </c>
      <c r="L39" s="2"/>
      <c r="M39" s="148" t="s">
        <v>72</v>
      </c>
      <c r="N39" s="149">
        <f t="shared" ref="N39:N49" si="30">N38</f>
        <v>54</v>
      </c>
      <c r="O39" s="125">
        <f t="shared" ref="O39:O49" si="31">O38</f>
        <v>2008.8</v>
      </c>
      <c r="P39" s="106">
        <f t="shared" ref="P39:P49" si="32">P38</f>
        <v>100</v>
      </c>
      <c r="Q39" s="98">
        <f t="shared" si="21"/>
        <v>92203.92</v>
      </c>
      <c r="R39" s="145" t="s">
        <v>112</v>
      </c>
      <c r="S39" s="146">
        <v>5359</v>
      </c>
      <c r="T39" s="146"/>
      <c r="U39" s="125">
        <f>U38</f>
        <v>11.87</v>
      </c>
      <c r="V39" s="98">
        <f t="shared" si="22"/>
        <v>63611.33</v>
      </c>
      <c r="W39" s="147">
        <f t="shared" si="23"/>
        <v>155815.25</v>
      </c>
      <c r="X39" s="2"/>
      <c r="Y39" s="148" t="s">
        <v>72</v>
      </c>
      <c r="Z39" s="149">
        <f t="shared" ref="Z39:Z49" si="33">Z38</f>
        <v>54</v>
      </c>
      <c r="AA39" s="125">
        <f t="shared" ref="AA39:AA49" si="34">AA38</f>
        <v>2008.8</v>
      </c>
      <c r="AB39" s="106">
        <f t="shared" ref="AB39:AB49" si="35">AB38</f>
        <v>100</v>
      </c>
      <c r="AC39" s="98">
        <f t="shared" si="24"/>
        <v>92203.92</v>
      </c>
      <c r="AD39" s="145" t="s">
        <v>112</v>
      </c>
      <c r="AE39" s="146">
        <v>5359</v>
      </c>
      <c r="AF39" s="146"/>
      <c r="AG39" s="125">
        <f>AG38</f>
        <v>11.87</v>
      </c>
      <c r="AH39" s="98">
        <f t="shared" si="25"/>
        <v>63611.33</v>
      </c>
      <c r="AI39" s="147">
        <f t="shared" si="26"/>
        <v>155815.25</v>
      </c>
    </row>
    <row r="40" spans="1:35" ht="30" customHeight="1" x14ac:dyDescent="0.15">
      <c r="A40" s="232" t="s">
        <v>73</v>
      </c>
      <c r="B40" s="233">
        <f t="shared" si="27"/>
        <v>54</v>
      </c>
      <c r="C40" s="234">
        <f t="shared" si="28"/>
        <v>1296</v>
      </c>
      <c r="D40" s="235">
        <f t="shared" si="29"/>
        <v>100</v>
      </c>
      <c r="E40" s="228">
        <f t="shared" si="18"/>
        <v>59486.400000000001</v>
      </c>
      <c r="F40" s="229" t="s">
        <v>9</v>
      </c>
      <c r="G40" s="230">
        <v>4842</v>
      </c>
      <c r="H40" s="230"/>
      <c r="I40" s="234">
        <f>I39</f>
        <v>16.87</v>
      </c>
      <c r="J40" s="228">
        <f t="shared" si="19"/>
        <v>81684.539999999994</v>
      </c>
      <c r="K40" s="231">
        <f t="shared" si="20"/>
        <v>141170.94</v>
      </c>
      <c r="L40" s="2"/>
      <c r="M40" s="148" t="s">
        <v>73</v>
      </c>
      <c r="N40" s="149">
        <f t="shared" si="30"/>
        <v>54</v>
      </c>
      <c r="O40" s="125">
        <f t="shared" si="31"/>
        <v>2008.8</v>
      </c>
      <c r="P40" s="106">
        <f t="shared" si="32"/>
        <v>100</v>
      </c>
      <c r="Q40" s="98">
        <f t="shared" si="21"/>
        <v>92203.92</v>
      </c>
      <c r="R40" s="145" t="s">
        <v>9</v>
      </c>
      <c r="S40" s="146">
        <v>4842</v>
      </c>
      <c r="T40" s="146"/>
      <c r="U40" s="125">
        <f>U39</f>
        <v>11.87</v>
      </c>
      <c r="V40" s="98">
        <f t="shared" si="22"/>
        <v>57474.54</v>
      </c>
      <c r="W40" s="147">
        <f t="shared" si="23"/>
        <v>149678.46</v>
      </c>
      <c r="X40" s="2"/>
      <c r="Y40" s="148" t="s">
        <v>73</v>
      </c>
      <c r="Z40" s="149">
        <f t="shared" si="33"/>
        <v>54</v>
      </c>
      <c r="AA40" s="125">
        <f t="shared" si="34"/>
        <v>2008.8</v>
      </c>
      <c r="AB40" s="106">
        <f t="shared" si="35"/>
        <v>100</v>
      </c>
      <c r="AC40" s="98">
        <f t="shared" si="24"/>
        <v>92203.92</v>
      </c>
      <c r="AD40" s="145" t="s">
        <v>9</v>
      </c>
      <c r="AE40" s="146">
        <v>4842</v>
      </c>
      <c r="AF40" s="146"/>
      <c r="AG40" s="125">
        <f>AG39</f>
        <v>11.87</v>
      </c>
      <c r="AH40" s="98">
        <f t="shared" si="25"/>
        <v>57474.54</v>
      </c>
      <c r="AI40" s="147">
        <f t="shared" si="26"/>
        <v>149678.46</v>
      </c>
    </row>
    <row r="41" spans="1:35" ht="30" customHeight="1" x14ac:dyDescent="0.15">
      <c r="A41" s="232" t="s">
        <v>74</v>
      </c>
      <c r="B41" s="233">
        <f t="shared" si="27"/>
        <v>54</v>
      </c>
      <c r="C41" s="234">
        <f t="shared" si="28"/>
        <v>1296</v>
      </c>
      <c r="D41" s="235">
        <f t="shared" si="29"/>
        <v>100</v>
      </c>
      <c r="E41" s="228">
        <f t="shared" si="18"/>
        <v>59486.400000000001</v>
      </c>
      <c r="F41" s="229" t="s">
        <v>9</v>
      </c>
      <c r="G41" s="230">
        <v>3067</v>
      </c>
      <c r="H41" s="230"/>
      <c r="I41" s="234">
        <f>I40</f>
        <v>16.87</v>
      </c>
      <c r="J41" s="228">
        <f t="shared" si="19"/>
        <v>51740.29</v>
      </c>
      <c r="K41" s="231">
        <f t="shared" si="20"/>
        <v>111226.69</v>
      </c>
      <c r="L41" s="2"/>
      <c r="M41" s="148" t="s">
        <v>74</v>
      </c>
      <c r="N41" s="149">
        <f t="shared" si="30"/>
        <v>54</v>
      </c>
      <c r="O41" s="125">
        <f t="shared" si="31"/>
        <v>2008.8</v>
      </c>
      <c r="P41" s="106">
        <f t="shared" si="32"/>
        <v>100</v>
      </c>
      <c r="Q41" s="98">
        <f t="shared" si="21"/>
        <v>92203.92</v>
      </c>
      <c r="R41" s="145" t="s">
        <v>9</v>
      </c>
      <c r="S41" s="146">
        <v>3067</v>
      </c>
      <c r="T41" s="146"/>
      <c r="U41" s="125">
        <f>U40</f>
        <v>11.87</v>
      </c>
      <c r="V41" s="98">
        <f t="shared" si="22"/>
        <v>36405.29</v>
      </c>
      <c r="W41" s="147">
        <f t="shared" si="23"/>
        <v>128609.21</v>
      </c>
      <c r="X41" s="2"/>
      <c r="Y41" s="148" t="s">
        <v>74</v>
      </c>
      <c r="Z41" s="149">
        <f t="shared" si="33"/>
        <v>54</v>
      </c>
      <c r="AA41" s="125">
        <f t="shared" si="34"/>
        <v>2008.8</v>
      </c>
      <c r="AB41" s="106">
        <f t="shared" si="35"/>
        <v>100</v>
      </c>
      <c r="AC41" s="98">
        <f t="shared" si="24"/>
        <v>92203.92</v>
      </c>
      <c r="AD41" s="145" t="s">
        <v>9</v>
      </c>
      <c r="AE41" s="146">
        <v>3067</v>
      </c>
      <c r="AF41" s="146"/>
      <c r="AG41" s="125">
        <f>AG40</f>
        <v>11.87</v>
      </c>
      <c r="AH41" s="98">
        <f t="shared" si="25"/>
        <v>36405.29</v>
      </c>
      <c r="AI41" s="147">
        <f t="shared" si="26"/>
        <v>128609.21</v>
      </c>
    </row>
    <row r="42" spans="1:35" ht="30" customHeight="1" x14ac:dyDescent="0.15">
      <c r="A42" s="232" t="s">
        <v>75</v>
      </c>
      <c r="B42" s="233">
        <f t="shared" si="27"/>
        <v>54</v>
      </c>
      <c r="C42" s="234">
        <f t="shared" si="28"/>
        <v>1296</v>
      </c>
      <c r="D42" s="235">
        <f t="shared" si="29"/>
        <v>100</v>
      </c>
      <c r="E42" s="228">
        <f t="shared" si="18"/>
        <v>59486.400000000001</v>
      </c>
      <c r="F42" s="229" t="s">
        <v>9</v>
      </c>
      <c r="G42" s="230">
        <v>3614</v>
      </c>
      <c r="H42" s="230"/>
      <c r="I42" s="234">
        <f>I41</f>
        <v>16.87</v>
      </c>
      <c r="J42" s="228">
        <f t="shared" si="19"/>
        <v>60968.18</v>
      </c>
      <c r="K42" s="231">
        <f t="shared" si="20"/>
        <v>120454.58</v>
      </c>
      <c r="L42" s="2"/>
      <c r="M42" s="148" t="s">
        <v>75</v>
      </c>
      <c r="N42" s="149">
        <f t="shared" si="30"/>
        <v>54</v>
      </c>
      <c r="O42" s="125">
        <f t="shared" si="31"/>
        <v>2008.8</v>
      </c>
      <c r="P42" s="106">
        <f t="shared" si="32"/>
        <v>100</v>
      </c>
      <c r="Q42" s="98">
        <f t="shared" si="21"/>
        <v>92203.92</v>
      </c>
      <c r="R42" s="145" t="s">
        <v>9</v>
      </c>
      <c r="S42" s="146">
        <v>3614</v>
      </c>
      <c r="T42" s="146"/>
      <c r="U42" s="125">
        <f>U41</f>
        <v>11.87</v>
      </c>
      <c r="V42" s="98">
        <f t="shared" si="22"/>
        <v>42898.18</v>
      </c>
      <c r="W42" s="147">
        <f t="shared" si="23"/>
        <v>135102.1</v>
      </c>
      <c r="X42" s="2"/>
      <c r="Y42" s="148" t="s">
        <v>75</v>
      </c>
      <c r="Z42" s="149">
        <f t="shared" si="33"/>
        <v>54</v>
      </c>
      <c r="AA42" s="125">
        <f t="shared" si="34"/>
        <v>2008.8</v>
      </c>
      <c r="AB42" s="106">
        <f t="shared" si="35"/>
        <v>100</v>
      </c>
      <c r="AC42" s="98">
        <f t="shared" si="24"/>
        <v>92203.92</v>
      </c>
      <c r="AD42" s="145" t="s">
        <v>9</v>
      </c>
      <c r="AE42" s="146">
        <v>3614</v>
      </c>
      <c r="AF42" s="146"/>
      <c r="AG42" s="125">
        <f>AG41</f>
        <v>11.87</v>
      </c>
      <c r="AH42" s="98">
        <f t="shared" si="25"/>
        <v>42898.18</v>
      </c>
      <c r="AI42" s="147">
        <f t="shared" si="26"/>
        <v>135102.1</v>
      </c>
    </row>
    <row r="43" spans="1:35" ht="30" customHeight="1" x14ac:dyDescent="0.15">
      <c r="A43" s="232" t="s">
        <v>76</v>
      </c>
      <c r="B43" s="233">
        <f t="shared" si="27"/>
        <v>54</v>
      </c>
      <c r="C43" s="234">
        <f t="shared" si="28"/>
        <v>1296</v>
      </c>
      <c r="D43" s="235">
        <f t="shared" si="29"/>
        <v>100</v>
      </c>
      <c r="E43" s="228">
        <f t="shared" si="18"/>
        <v>59486.400000000001</v>
      </c>
      <c r="F43" s="229" t="s">
        <v>9</v>
      </c>
      <c r="G43" s="230">
        <v>4882</v>
      </c>
      <c r="H43" s="230"/>
      <c r="I43" s="234">
        <f>I42</f>
        <v>16.87</v>
      </c>
      <c r="J43" s="228">
        <f t="shared" si="19"/>
        <v>82359.34</v>
      </c>
      <c r="K43" s="231">
        <f t="shared" si="20"/>
        <v>141845.74</v>
      </c>
      <c r="L43" s="2"/>
      <c r="M43" s="148" t="s">
        <v>76</v>
      </c>
      <c r="N43" s="149">
        <f t="shared" si="30"/>
        <v>54</v>
      </c>
      <c r="O43" s="125">
        <f t="shared" si="31"/>
        <v>2008.8</v>
      </c>
      <c r="P43" s="106">
        <f t="shared" si="32"/>
        <v>100</v>
      </c>
      <c r="Q43" s="98">
        <f t="shared" si="21"/>
        <v>92203.92</v>
      </c>
      <c r="R43" s="145" t="s">
        <v>9</v>
      </c>
      <c r="S43" s="146">
        <v>4882</v>
      </c>
      <c r="T43" s="146"/>
      <c r="U43" s="125">
        <f>U42</f>
        <v>11.87</v>
      </c>
      <c r="V43" s="98">
        <f t="shared" si="22"/>
        <v>57949.34</v>
      </c>
      <c r="W43" s="147">
        <f t="shared" si="23"/>
        <v>150153.26</v>
      </c>
      <c r="X43" s="2"/>
      <c r="Y43" s="148" t="s">
        <v>76</v>
      </c>
      <c r="Z43" s="149">
        <f t="shared" si="33"/>
        <v>54</v>
      </c>
      <c r="AA43" s="125">
        <f t="shared" si="34"/>
        <v>2008.8</v>
      </c>
      <c r="AB43" s="106">
        <f t="shared" si="35"/>
        <v>100</v>
      </c>
      <c r="AC43" s="98">
        <f t="shared" si="24"/>
        <v>92203.92</v>
      </c>
      <c r="AD43" s="145" t="s">
        <v>9</v>
      </c>
      <c r="AE43" s="146">
        <v>4882</v>
      </c>
      <c r="AF43" s="146"/>
      <c r="AG43" s="125">
        <f>AG42</f>
        <v>11.87</v>
      </c>
      <c r="AH43" s="98">
        <f t="shared" si="25"/>
        <v>57949.34</v>
      </c>
      <c r="AI43" s="147">
        <f t="shared" si="26"/>
        <v>150153.26</v>
      </c>
    </row>
    <row r="44" spans="1:35" ht="30" customHeight="1" x14ac:dyDescent="0.15">
      <c r="A44" s="232" t="s">
        <v>77</v>
      </c>
      <c r="B44" s="233">
        <f t="shared" si="27"/>
        <v>54</v>
      </c>
      <c r="C44" s="234">
        <f t="shared" si="28"/>
        <v>1296</v>
      </c>
      <c r="D44" s="235">
        <f t="shared" si="29"/>
        <v>100</v>
      </c>
      <c r="E44" s="228">
        <f t="shared" si="18"/>
        <v>59486.400000000001</v>
      </c>
      <c r="F44" s="229" t="s">
        <v>71</v>
      </c>
      <c r="G44" s="230">
        <v>6590</v>
      </c>
      <c r="H44" s="230"/>
      <c r="I44" s="226">
        <v>18.29</v>
      </c>
      <c r="J44" s="228">
        <f t="shared" si="19"/>
        <v>120531.1</v>
      </c>
      <c r="K44" s="231">
        <f t="shared" si="20"/>
        <v>180017.5</v>
      </c>
      <c r="L44" s="2"/>
      <c r="M44" s="148" t="s">
        <v>77</v>
      </c>
      <c r="N44" s="149">
        <f t="shared" si="30"/>
        <v>54</v>
      </c>
      <c r="O44" s="125">
        <f t="shared" si="31"/>
        <v>2008.8</v>
      </c>
      <c r="P44" s="106">
        <f t="shared" si="32"/>
        <v>100</v>
      </c>
      <c r="Q44" s="98">
        <f t="shared" si="21"/>
        <v>92203.92</v>
      </c>
      <c r="R44" s="145" t="s">
        <v>71</v>
      </c>
      <c r="S44" s="146">
        <v>6590</v>
      </c>
      <c r="T44" s="146"/>
      <c r="U44" s="124">
        <v>12.78</v>
      </c>
      <c r="V44" s="98">
        <f t="shared" si="22"/>
        <v>84220.2</v>
      </c>
      <c r="W44" s="147">
        <f t="shared" si="23"/>
        <v>176424.12</v>
      </c>
      <c r="X44" s="2"/>
      <c r="Y44" s="148" t="s">
        <v>77</v>
      </c>
      <c r="Z44" s="149">
        <f t="shared" si="33"/>
        <v>54</v>
      </c>
      <c r="AA44" s="125">
        <f t="shared" si="34"/>
        <v>2008.8</v>
      </c>
      <c r="AB44" s="106">
        <f t="shared" si="35"/>
        <v>100</v>
      </c>
      <c r="AC44" s="98">
        <f t="shared" si="24"/>
        <v>92203.92</v>
      </c>
      <c r="AD44" s="145" t="s">
        <v>71</v>
      </c>
      <c r="AE44" s="146">
        <v>6590</v>
      </c>
      <c r="AF44" s="146"/>
      <c r="AG44" s="124">
        <v>12.78</v>
      </c>
      <c r="AH44" s="98">
        <f t="shared" si="25"/>
        <v>84220.2</v>
      </c>
      <c r="AI44" s="147">
        <f t="shared" si="26"/>
        <v>176424.12</v>
      </c>
    </row>
    <row r="45" spans="1:35" ht="30" customHeight="1" x14ac:dyDescent="0.15">
      <c r="A45" s="232" t="s">
        <v>78</v>
      </c>
      <c r="B45" s="233">
        <f t="shared" si="27"/>
        <v>54</v>
      </c>
      <c r="C45" s="234">
        <f t="shared" si="28"/>
        <v>1296</v>
      </c>
      <c r="D45" s="235">
        <f t="shared" si="29"/>
        <v>100</v>
      </c>
      <c r="E45" s="228">
        <f t="shared" si="18"/>
        <v>59486.400000000001</v>
      </c>
      <c r="F45" s="229" t="s">
        <v>71</v>
      </c>
      <c r="G45" s="230">
        <v>6799</v>
      </c>
      <c r="H45" s="230"/>
      <c r="I45" s="234">
        <f>I44</f>
        <v>18.29</v>
      </c>
      <c r="J45" s="228">
        <f t="shared" si="19"/>
        <v>124353.71</v>
      </c>
      <c r="K45" s="231">
        <f t="shared" si="20"/>
        <v>183840.11</v>
      </c>
      <c r="L45" s="2"/>
      <c r="M45" s="148" t="s">
        <v>78</v>
      </c>
      <c r="N45" s="149">
        <f t="shared" si="30"/>
        <v>54</v>
      </c>
      <c r="O45" s="125">
        <f t="shared" si="31"/>
        <v>2008.8</v>
      </c>
      <c r="P45" s="106">
        <f t="shared" si="32"/>
        <v>100</v>
      </c>
      <c r="Q45" s="98">
        <f t="shared" si="21"/>
        <v>92203.92</v>
      </c>
      <c r="R45" s="145" t="s">
        <v>71</v>
      </c>
      <c r="S45" s="146">
        <v>6799</v>
      </c>
      <c r="T45" s="146"/>
      <c r="U45" s="125">
        <f>U44</f>
        <v>12.78</v>
      </c>
      <c r="V45" s="98">
        <f t="shared" si="22"/>
        <v>86891.22</v>
      </c>
      <c r="W45" s="147">
        <f t="shared" si="23"/>
        <v>179095.14</v>
      </c>
      <c r="X45" s="2"/>
      <c r="Y45" s="148" t="s">
        <v>78</v>
      </c>
      <c r="Z45" s="149">
        <f t="shared" si="33"/>
        <v>54</v>
      </c>
      <c r="AA45" s="125">
        <f t="shared" si="34"/>
        <v>2008.8</v>
      </c>
      <c r="AB45" s="106">
        <f t="shared" si="35"/>
        <v>100</v>
      </c>
      <c r="AC45" s="98">
        <f t="shared" si="24"/>
        <v>92203.92</v>
      </c>
      <c r="AD45" s="145" t="s">
        <v>71</v>
      </c>
      <c r="AE45" s="146">
        <v>6799</v>
      </c>
      <c r="AF45" s="146"/>
      <c r="AG45" s="125">
        <f>AG44</f>
        <v>12.78</v>
      </c>
      <c r="AH45" s="98">
        <f t="shared" si="25"/>
        <v>86891.22</v>
      </c>
      <c r="AI45" s="147">
        <f t="shared" si="26"/>
        <v>179095.14</v>
      </c>
    </row>
    <row r="46" spans="1:35" ht="30" customHeight="1" x14ac:dyDescent="0.15">
      <c r="A46" s="232" t="s">
        <v>79</v>
      </c>
      <c r="B46" s="233">
        <f t="shared" si="27"/>
        <v>54</v>
      </c>
      <c r="C46" s="234">
        <f t="shared" si="28"/>
        <v>1296</v>
      </c>
      <c r="D46" s="235">
        <f t="shared" si="29"/>
        <v>100</v>
      </c>
      <c r="E46" s="228">
        <f t="shared" si="18"/>
        <v>59486.400000000001</v>
      </c>
      <c r="F46" s="229" t="s">
        <v>71</v>
      </c>
      <c r="G46" s="230">
        <v>4637</v>
      </c>
      <c r="H46" s="230"/>
      <c r="I46" s="234">
        <f>I45</f>
        <v>18.29</v>
      </c>
      <c r="J46" s="228">
        <f t="shared" si="19"/>
        <v>84810.73</v>
      </c>
      <c r="K46" s="231">
        <f t="shared" si="20"/>
        <v>144297.13</v>
      </c>
      <c r="L46" s="2"/>
      <c r="M46" s="148" t="s">
        <v>79</v>
      </c>
      <c r="N46" s="149">
        <f t="shared" si="30"/>
        <v>54</v>
      </c>
      <c r="O46" s="125">
        <f t="shared" si="31"/>
        <v>2008.8</v>
      </c>
      <c r="P46" s="106">
        <f t="shared" si="32"/>
        <v>100</v>
      </c>
      <c r="Q46" s="98">
        <f t="shared" si="21"/>
        <v>92203.92</v>
      </c>
      <c r="R46" s="145" t="s">
        <v>71</v>
      </c>
      <c r="S46" s="146">
        <v>4637</v>
      </c>
      <c r="T46" s="146"/>
      <c r="U46" s="125">
        <f>U45</f>
        <v>12.78</v>
      </c>
      <c r="V46" s="98">
        <f t="shared" si="22"/>
        <v>59260.86</v>
      </c>
      <c r="W46" s="147">
        <f t="shared" si="23"/>
        <v>151464.78</v>
      </c>
      <c r="X46" s="2"/>
      <c r="Y46" s="148" t="s">
        <v>79</v>
      </c>
      <c r="Z46" s="149">
        <f t="shared" si="33"/>
        <v>54</v>
      </c>
      <c r="AA46" s="125">
        <f t="shared" si="34"/>
        <v>2008.8</v>
      </c>
      <c r="AB46" s="106">
        <f t="shared" si="35"/>
        <v>100</v>
      </c>
      <c r="AC46" s="98">
        <f t="shared" si="24"/>
        <v>92203.92</v>
      </c>
      <c r="AD46" s="145" t="s">
        <v>71</v>
      </c>
      <c r="AE46" s="146">
        <v>4637</v>
      </c>
      <c r="AF46" s="146"/>
      <c r="AG46" s="125">
        <f>AG45</f>
        <v>12.78</v>
      </c>
      <c r="AH46" s="98">
        <f t="shared" si="25"/>
        <v>59260.86</v>
      </c>
      <c r="AI46" s="147">
        <f t="shared" si="26"/>
        <v>151464.78</v>
      </c>
    </row>
    <row r="47" spans="1:35" ht="30" customHeight="1" x14ac:dyDescent="0.15">
      <c r="A47" s="232" t="s">
        <v>80</v>
      </c>
      <c r="B47" s="233">
        <f t="shared" si="27"/>
        <v>54</v>
      </c>
      <c r="C47" s="234">
        <f t="shared" si="28"/>
        <v>1296</v>
      </c>
      <c r="D47" s="235">
        <f t="shared" si="29"/>
        <v>100</v>
      </c>
      <c r="E47" s="228">
        <f t="shared" si="18"/>
        <v>59486.400000000001</v>
      </c>
      <c r="F47" s="229" t="s">
        <v>9</v>
      </c>
      <c r="G47" s="230">
        <v>3254</v>
      </c>
      <c r="H47" s="230"/>
      <c r="I47" s="234">
        <f>I38</f>
        <v>16.87</v>
      </c>
      <c r="J47" s="228">
        <f t="shared" si="19"/>
        <v>54894.98</v>
      </c>
      <c r="K47" s="231">
        <f t="shared" si="20"/>
        <v>114381.38</v>
      </c>
      <c r="L47" s="2"/>
      <c r="M47" s="148" t="s">
        <v>80</v>
      </c>
      <c r="N47" s="149">
        <f t="shared" si="30"/>
        <v>54</v>
      </c>
      <c r="O47" s="125">
        <f t="shared" si="31"/>
        <v>2008.8</v>
      </c>
      <c r="P47" s="106">
        <f t="shared" si="32"/>
        <v>100</v>
      </c>
      <c r="Q47" s="98">
        <f t="shared" si="21"/>
        <v>92203.92</v>
      </c>
      <c r="R47" s="145" t="s">
        <v>9</v>
      </c>
      <c r="S47" s="146">
        <v>3254</v>
      </c>
      <c r="T47" s="146"/>
      <c r="U47" s="125">
        <f>U38</f>
        <v>11.87</v>
      </c>
      <c r="V47" s="98">
        <f t="shared" si="22"/>
        <v>38624.980000000003</v>
      </c>
      <c r="W47" s="147">
        <f t="shared" si="23"/>
        <v>130828.9</v>
      </c>
      <c r="X47" s="2"/>
      <c r="Y47" s="148" t="s">
        <v>80</v>
      </c>
      <c r="Z47" s="149">
        <f t="shared" si="33"/>
        <v>54</v>
      </c>
      <c r="AA47" s="125">
        <f t="shared" si="34"/>
        <v>2008.8</v>
      </c>
      <c r="AB47" s="106">
        <f t="shared" si="35"/>
        <v>100</v>
      </c>
      <c r="AC47" s="98">
        <f t="shared" si="24"/>
        <v>92203.92</v>
      </c>
      <c r="AD47" s="145" t="s">
        <v>9</v>
      </c>
      <c r="AE47" s="146">
        <v>3254</v>
      </c>
      <c r="AF47" s="146"/>
      <c r="AG47" s="125">
        <f>AG38</f>
        <v>11.87</v>
      </c>
      <c r="AH47" s="98">
        <f t="shared" si="25"/>
        <v>38624.980000000003</v>
      </c>
      <c r="AI47" s="147">
        <f t="shared" si="26"/>
        <v>130828.9</v>
      </c>
    </row>
    <row r="48" spans="1:35" ht="30" customHeight="1" x14ac:dyDescent="0.15">
      <c r="A48" s="232" t="s">
        <v>81</v>
      </c>
      <c r="B48" s="233">
        <f t="shared" si="27"/>
        <v>54</v>
      </c>
      <c r="C48" s="234">
        <f t="shared" si="28"/>
        <v>1296</v>
      </c>
      <c r="D48" s="235">
        <f t="shared" si="29"/>
        <v>100</v>
      </c>
      <c r="E48" s="228">
        <f t="shared" si="18"/>
        <v>59486.400000000001</v>
      </c>
      <c r="F48" s="229" t="s">
        <v>9</v>
      </c>
      <c r="G48" s="230">
        <v>4046</v>
      </c>
      <c r="H48" s="230"/>
      <c r="I48" s="236">
        <f>I47</f>
        <v>16.87</v>
      </c>
      <c r="J48" s="228">
        <f t="shared" si="19"/>
        <v>68256.02</v>
      </c>
      <c r="K48" s="231">
        <f t="shared" si="20"/>
        <v>127742.42</v>
      </c>
      <c r="L48" s="2"/>
      <c r="M48" s="148" t="s">
        <v>81</v>
      </c>
      <c r="N48" s="149">
        <f t="shared" si="30"/>
        <v>54</v>
      </c>
      <c r="O48" s="125">
        <f t="shared" si="31"/>
        <v>2008.8</v>
      </c>
      <c r="P48" s="106">
        <f t="shared" si="32"/>
        <v>100</v>
      </c>
      <c r="Q48" s="98">
        <f t="shared" si="21"/>
        <v>92203.92</v>
      </c>
      <c r="R48" s="145" t="s">
        <v>9</v>
      </c>
      <c r="S48" s="146">
        <v>4046</v>
      </c>
      <c r="T48" s="146"/>
      <c r="U48" s="127">
        <f>U47</f>
        <v>11.87</v>
      </c>
      <c r="V48" s="98">
        <f t="shared" si="22"/>
        <v>48026.02</v>
      </c>
      <c r="W48" s="147">
        <f t="shared" si="23"/>
        <v>140229.94</v>
      </c>
      <c r="X48" s="2"/>
      <c r="Y48" s="148" t="s">
        <v>81</v>
      </c>
      <c r="Z48" s="149">
        <f t="shared" si="33"/>
        <v>54</v>
      </c>
      <c r="AA48" s="125">
        <f t="shared" si="34"/>
        <v>2008.8</v>
      </c>
      <c r="AB48" s="106">
        <f t="shared" si="35"/>
        <v>100</v>
      </c>
      <c r="AC48" s="98">
        <f t="shared" si="24"/>
        <v>92203.92</v>
      </c>
      <c r="AD48" s="145" t="s">
        <v>9</v>
      </c>
      <c r="AE48" s="146">
        <v>4046</v>
      </c>
      <c r="AF48" s="146"/>
      <c r="AG48" s="127">
        <f>AG47</f>
        <v>11.87</v>
      </c>
      <c r="AH48" s="98">
        <f t="shared" si="25"/>
        <v>48026.02</v>
      </c>
      <c r="AI48" s="147">
        <f t="shared" si="26"/>
        <v>140229.94</v>
      </c>
    </row>
    <row r="49" spans="1:35" ht="30" customHeight="1" thickBot="1" x14ac:dyDescent="0.2">
      <c r="A49" s="237" t="s">
        <v>82</v>
      </c>
      <c r="B49" s="238">
        <f t="shared" si="27"/>
        <v>54</v>
      </c>
      <c r="C49" s="239">
        <f t="shared" si="28"/>
        <v>1296</v>
      </c>
      <c r="D49" s="238">
        <f t="shared" si="29"/>
        <v>100</v>
      </c>
      <c r="E49" s="240">
        <f t="shared" si="18"/>
        <v>59486.400000000001</v>
      </c>
      <c r="F49" s="241" t="s">
        <v>9</v>
      </c>
      <c r="G49" s="242">
        <v>3686</v>
      </c>
      <c r="H49" s="242"/>
      <c r="I49" s="239">
        <f>I48</f>
        <v>16.87</v>
      </c>
      <c r="J49" s="240">
        <f t="shared" si="19"/>
        <v>62182.82</v>
      </c>
      <c r="K49" s="243">
        <f t="shared" si="20"/>
        <v>121669.22</v>
      </c>
      <c r="L49" s="89"/>
      <c r="M49" s="150" t="s">
        <v>82</v>
      </c>
      <c r="N49" s="151">
        <f t="shared" si="30"/>
        <v>54</v>
      </c>
      <c r="O49" s="126">
        <f t="shared" si="31"/>
        <v>2008.8</v>
      </c>
      <c r="P49" s="152">
        <f t="shared" si="32"/>
        <v>100</v>
      </c>
      <c r="Q49" s="99">
        <f t="shared" si="21"/>
        <v>92203.92</v>
      </c>
      <c r="R49" s="153" t="s">
        <v>9</v>
      </c>
      <c r="S49" s="154">
        <v>3686</v>
      </c>
      <c r="T49" s="154"/>
      <c r="U49" s="126">
        <f>U48</f>
        <v>11.87</v>
      </c>
      <c r="V49" s="99">
        <f t="shared" si="22"/>
        <v>43752.82</v>
      </c>
      <c r="W49" s="155">
        <f t="shared" si="23"/>
        <v>135956.74</v>
      </c>
      <c r="X49" s="89"/>
      <c r="Y49" s="150" t="s">
        <v>82</v>
      </c>
      <c r="Z49" s="151">
        <f t="shared" si="33"/>
        <v>54</v>
      </c>
      <c r="AA49" s="126">
        <f t="shared" si="34"/>
        <v>2008.8</v>
      </c>
      <c r="AB49" s="152">
        <f t="shared" si="35"/>
        <v>100</v>
      </c>
      <c r="AC49" s="99">
        <f t="shared" si="24"/>
        <v>92203.92</v>
      </c>
      <c r="AD49" s="153" t="s">
        <v>9</v>
      </c>
      <c r="AE49" s="154">
        <v>3686</v>
      </c>
      <c r="AF49" s="154"/>
      <c r="AG49" s="126">
        <f>AG48</f>
        <v>11.87</v>
      </c>
      <c r="AH49" s="99">
        <f t="shared" si="25"/>
        <v>43752.82</v>
      </c>
      <c r="AI49" s="155">
        <f t="shared" si="26"/>
        <v>135956.74</v>
      </c>
    </row>
    <row r="50" spans="1:35" ht="30" customHeight="1" thickBot="1" x14ac:dyDescent="0.2">
      <c r="A50" s="251" t="s">
        <v>41</v>
      </c>
      <c r="B50" s="245"/>
      <c r="C50" s="245"/>
      <c r="D50" s="245"/>
      <c r="E50" s="246">
        <f>SUM(E38:E49)</f>
        <v>713836.80000000016</v>
      </c>
      <c r="F50" s="247"/>
      <c r="G50" s="248">
        <f>SUM(G38:G49)</f>
        <v>56432</v>
      </c>
      <c r="H50" s="248"/>
      <c r="I50" s="245"/>
      <c r="J50" s="246">
        <f>SUM(J38:J49)</f>
        <v>977604.75999999978</v>
      </c>
      <c r="K50" s="249">
        <f>SUM(K38:K49)</f>
        <v>1691441.5599999998</v>
      </c>
      <c r="L50" s="89" t="s">
        <v>113</v>
      </c>
      <c r="M50" s="164" t="s">
        <v>41</v>
      </c>
      <c r="N50" s="157"/>
      <c r="O50" s="157"/>
      <c r="P50" s="157"/>
      <c r="Q50" s="158">
        <f>SUM(Q38:Q49)</f>
        <v>1106447.0400000003</v>
      </c>
      <c r="R50" s="159"/>
      <c r="S50" s="160">
        <f>SUM(S38:S49)</f>
        <v>56432</v>
      </c>
      <c r="T50" s="160"/>
      <c r="U50" s="157"/>
      <c r="V50" s="158">
        <f>SUM(V38:V49)</f>
        <v>686251.5</v>
      </c>
      <c r="W50" s="161">
        <f>SUM(W38:W49)</f>
        <v>1792698.54</v>
      </c>
      <c r="X50" s="89" t="s">
        <v>113</v>
      </c>
      <c r="Y50" s="164" t="s">
        <v>41</v>
      </c>
      <c r="Z50" s="157"/>
      <c r="AA50" s="157"/>
      <c r="AB50" s="157"/>
      <c r="AC50" s="158">
        <f>SUM(AC38:AC49)</f>
        <v>1106447.0400000003</v>
      </c>
      <c r="AD50" s="159"/>
      <c r="AE50" s="160">
        <f>SUM(AE38:AE49)</f>
        <v>56432</v>
      </c>
      <c r="AF50" s="160"/>
      <c r="AG50" s="157"/>
      <c r="AH50" s="158">
        <f>SUM(AH38:AH49)</f>
        <v>686251.5</v>
      </c>
      <c r="AI50" s="161">
        <f>SUM(AI38:AI49)</f>
        <v>1792698.54</v>
      </c>
    </row>
    <row r="51" spans="1:35" ht="15" customHeight="1" x14ac:dyDescent="0.15">
      <c r="A51" s="214"/>
      <c r="B51" s="250"/>
      <c r="C51" s="250"/>
      <c r="D51" s="250"/>
      <c r="E51" s="250"/>
      <c r="F51" s="250"/>
      <c r="G51" s="250"/>
      <c r="H51" s="250"/>
      <c r="I51" s="250"/>
      <c r="J51" s="250"/>
      <c r="K51" s="250"/>
      <c r="L51" s="2"/>
      <c r="N51" s="162"/>
      <c r="O51" s="162"/>
      <c r="P51" s="162"/>
      <c r="Q51" s="162"/>
      <c r="R51" s="162"/>
      <c r="S51" s="162"/>
      <c r="T51" s="162"/>
      <c r="U51" s="162"/>
      <c r="V51" s="162"/>
      <c r="W51" s="162"/>
      <c r="X51" s="2"/>
      <c r="Z51" s="162"/>
      <c r="AA51" s="162"/>
      <c r="AB51" s="162"/>
      <c r="AC51" s="162"/>
      <c r="AD51" s="162"/>
      <c r="AE51" s="162"/>
      <c r="AF51" s="162"/>
      <c r="AG51" s="162"/>
      <c r="AH51" s="162"/>
      <c r="AI51" s="162"/>
    </row>
    <row r="52" spans="1:35" x14ac:dyDescent="0.15">
      <c r="A52" s="211" t="s">
        <v>153</v>
      </c>
      <c r="B52" s="212">
        <f>B27+1</f>
        <v>3</v>
      </c>
      <c r="C52" s="213"/>
      <c r="D52" s="213"/>
      <c r="E52" s="213"/>
      <c r="F52" s="213"/>
      <c r="G52" s="213"/>
      <c r="H52" s="213"/>
      <c r="I52" s="213"/>
      <c r="J52" s="213"/>
      <c r="K52" s="692" t="str">
        <f>IF(K75-W75&lt;=0,"現状のまま","メニュー変更")</f>
        <v>現状のまま</v>
      </c>
      <c r="L52" s="2"/>
      <c r="M52" s="47" t="s">
        <v>153</v>
      </c>
      <c r="N52" s="62">
        <f>N27+1</f>
        <v>3</v>
      </c>
      <c r="X52" s="2"/>
      <c r="Y52" s="47" t="s">
        <v>153</v>
      </c>
      <c r="Z52" s="62">
        <f>Z27+1</f>
        <v>3</v>
      </c>
    </row>
    <row r="53" spans="1:35" x14ac:dyDescent="0.15">
      <c r="A53" s="214"/>
      <c r="B53" s="213"/>
      <c r="C53" s="213"/>
      <c r="D53" s="213"/>
      <c r="E53" s="213"/>
      <c r="F53" s="213"/>
      <c r="G53" s="213"/>
      <c r="H53" s="213"/>
      <c r="I53" s="213"/>
      <c r="J53" s="213"/>
      <c r="K53" s="692"/>
      <c r="L53" s="2"/>
      <c r="X53" s="2"/>
    </row>
    <row r="54" spans="1:35" x14ac:dyDescent="0.15">
      <c r="A54" s="214"/>
      <c r="B54" s="213"/>
      <c r="C54" s="213"/>
      <c r="D54" s="213"/>
      <c r="E54" s="213"/>
      <c r="F54" s="213"/>
      <c r="G54" s="213"/>
      <c r="H54" s="213"/>
      <c r="I54" s="213"/>
      <c r="J54" s="213"/>
      <c r="K54" s="692"/>
      <c r="L54" s="1"/>
      <c r="W54" s="64"/>
      <c r="X54" s="1"/>
      <c r="AI54" s="64"/>
    </row>
    <row r="55" spans="1:35" ht="17.25" x14ac:dyDescent="0.15">
      <c r="A55" s="694" t="str">
        <f>$A$5</f>
        <v>平成29年度小郡市役所庁舎外25施設電力需給</v>
      </c>
      <c r="B55" s="694"/>
      <c r="C55" s="694"/>
      <c r="D55" s="694"/>
      <c r="E55" s="694"/>
      <c r="F55" s="694"/>
      <c r="G55" s="694"/>
      <c r="H55" s="694"/>
      <c r="I55" s="694"/>
      <c r="J55" s="694"/>
      <c r="K55" s="694"/>
      <c r="L55" s="2"/>
      <c r="M55" s="553" t="str">
        <f>$A$5</f>
        <v>平成29年度小郡市役所庁舎外25施設電力需給</v>
      </c>
      <c r="N55" s="553"/>
      <c r="O55" s="553"/>
      <c r="P55" s="553"/>
      <c r="Q55" s="553"/>
      <c r="R55" s="553"/>
      <c r="S55" s="553"/>
      <c r="T55" s="553"/>
      <c r="U55" s="553"/>
      <c r="V55" s="553"/>
      <c r="W55" s="553"/>
      <c r="X55" s="2"/>
      <c r="Y55" s="553" t="str">
        <f>$A$5</f>
        <v>平成29年度小郡市役所庁舎外25施設電力需給</v>
      </c>
      <c r="Z55" s="553"/>
      <c r="AA55" s="553"/>
      <c r="AB55" s="553"/>
      <c r="AC55" s="553"/>
      <c r="AD55" s="553"/>
      <c r="AE55" s="553"/>
      <c r="AF55" s="553"/>
      <c r="AG55" s="553"/>
      <c r="AH55" s="553"/>
      <c r="AI55" s="553"/>
    </row>
    <row r="56" spans="1:35" x14ac:dyDescent="0.15">
      <c r="A56" s="689" t="str">
        <f>$A$6</f>
        <v>（平成３０年１月～平成３０年１２月期間中の予定金額）</v>
      </c>
      <c r="B56" s="689"/>
      <c r="C56" s="689"/>
      <c r="D56" s="689"/>
      <c r="E56" s="689"/>
      <c r="F56" s="689"/>
      <c r="G56" s="689"/>
      <c r="H56" s="689"/>
      <c r="I56" s="689"/>
      <c r="J56" s="689"/>
      <c r="K56" s="689"/>
      <c r="L56" s="2"/>
      <c r="M56" s="555" t="str">
        <f>$A$6</f>
        <v>（平成３０年１月～平成３０年１２月期間中の予定金額）</v>
      </c>
      <c r="N56" s="555"/>
      <c r="O56" s="555"/>
      <c r="P56" s="555"/>
      <c r="Q56" s="555"/>
      <c r="R56" s="555"/>
      <c r="S56" s="555"/>
      <c r="T56" s="555"/>
      <c r="U56" s="555"/>
      <c r="V56" s="555"/>
      <c r="W56" s="555"/>
      <c r="X56" s="2"/>
      <c r="Y56" s="555" t="str">
        <f>$A$6</f>
        <v>（平成３０年１月～平成３０年１２月期間中の予定金額）</v>
      </c>
      <c r="Z56" s="555"/>
      <c r="AA56" s="555"/>
      <c r="AB56" s="555"/>
      <c r="AC56" s="555"/>
      <c r="AD56" s="555"/>
      <c r="AE56" s="555"/>
      <c r="AF56" s="555"/>
      <c r="AG56" s="555"/>
      <c r="AH56" s="555"/>
      <c r="AI56" s="555"/>
    </row>
    <row r="57" spans="1:35" ht="14.25" thickBot="1" x14ac:dyDescent="0.2">
      <c r="A57" s="252" t="s">
        <v>131</v>
      </c>
      <c r="B57" s="213"/>
      <c r="C57" s="213"/>
      <c r="D57" s="213"/>
      <c r="E57" s="213"/>
      <c r="F57" s="213"/>
      <c r="G57" s="213"/>
      <c r="H57" s="213"/>
      <c r="I57" s="213"/>
      <c r="J57" s="213"/>
      <c r="K57" s="211" t="s">
        <v>84</v>
      </c>
      <c r="L57" s="2"/>
      <c r="M57" s="165" t="s">
        <v>131</v>
      </c>
      <c r="W57" s="47" t="s">
        <v>70</v>
      </c>
      <c r="X57" s="2"/>
      <c r="Y57" s="165" t="s">
        <v>131</v>
      </c>
      <c r="AI57" s="47" t="s">
        <v>70</v>
      </c>
    </row>
    <row r="58" spans="1:35" ht="18" customHeight="1" thickBot="1" x14ac:dyDescent="0.2">
      <c r="A58" s="695" t="s">
        <v>33</v>
      </c>
      <c r="B58" s="683" t="s">
        <v>24</v>
      </c>
      <c r="C58" s="684"/>
      <c r="D58" s="684"/>
      <c r="E58" s="685"/>
      <c r="F58" s="686" t="s">
        <v>34</v>
      </c>
      <c r="G58" s="687"/>
      <c r="H58" s="687"/>
      <c r="I58" s="687"/>
      <c r="J58" s="688"/>
      <c r="K58" s="667" t="s">
        <v>35</v>
      </c>
      <c r="L58" s="2"/>
      <c r="M58" s="567" t="s">
        <v>33</v>
      </c>
      <c r="N58" s="570" t="s">
        <v>24</v>
      </c>
      <c r="O58" s="571"/>
      <c r="P58" s="571"/>
      <c r="Q58" s="572"/>
      <c r="R58" s="573" t="s">
        <v>34</v>
      </c>
      <c r="S58" s="574"/>
      <c r="T58" s="574"/>
      <c r="U58" s="574"/>
      <c r="V58" s="575"/>
      <c r="W58" s="544" t="s">
        <v>35</v>
      </c>
      <c r="X58" s="2"/>
      <c r="Y58" s="567" t="s">
        <v>33</v>
      </c>
      <c r="Z58" s="570" t="s">
        <v>24</v>
      </c>
      <c r="AA58" s="571"/>
      <c r="AB58" s="571"/>
      <c r="AC58" s="572"/>
      <c r="AD58" s="573" t="s">
        <v>34</v>
      </c>
      <c r="AE58" s="574"/>
      <c r="AF58" s="574"/>
      <c r="AG58" s="574"/>
      <c r="AH58" s="575"/>
      <c r="AI58" s="544" t="s">
        <v>35</v>
      </c>
    </row>
    <row r="59" spans="1:35" ht="13.5" customHeight="1" x14ac:dyDescent="0.15">
      <c r="A59" s="696"/>
      <c r="B59" s="669" t="s">
        <v>28</v>
      </c>
      <c r="C59" s="667" t="s">
        <v>29</v>
      </c>
      <c r="D59" s="669" t="s">
        <v>25</v>
      </c>
      <c r="E59" s="678" t="s">
        <v>31</v>
      </c>
      <c r="F59" s="679" t="s">
        <v>36</v>
      </c>
      <c r="G59" s="680"/>
      <c r="H59" s="216"/>
      <c r="I59" s="667" t="s">
        <v>37</v>
      </c>
      <c r="J59" s="669" t="s">
        <v>38</v>
      </c>
      <c r="K59" s="668"/>
      <c r="L59" s="2"/>
      <c r="M59" s="568"/>
      <c r="N59" s="546" t="s">
        <v>28</v>
      </c>
      <c r="O59" s="544" t="s">
        <v>29</v>
      </c>
      <c r="P59" s="546" t="s">
        <v>25</v>
      </c>
      <c r="Q59" s="582" t="s">
        <v>31</v>
      </c>
      <c r="R59" s="540" t="s">
        <v>36</v>
      </c>
      <c r="S59" s="541"/>
      <c r="T59" s="135"/>
      <c r="U59" s="544" t="s">
        <v>37</v>
      </c>
      <c r="V59" s="546" t="s">
        <v>38</v>
      </c>
      <c r="W59" s="545"/>
      <c r="X59" s="2"/>
      <c r="Y59" s="568"/>
      <c r="Z59" s="546" t="s">
        <v>28</v>
      </c>
      <c r="AA59" s="544" t="s">
        <v>29</v>
      </c>
      <c r="AB59" s="546" t="s">
        <v>25</v>
      </c>
      <c r="AC59" s="582" t="s">
        <v>31</v>
      </c>
      <c r="AD59" s="540" t="s">
        <v>36</v>
      </c>
      <c r="AE59" s="541"/>
      <c r="AF59" s="135"/>
      <c r="AG59" s="544" t="s">
        <v>37</v>
      </c>
      <c r="AH59" s="546" t="s">
        <v>38</v>
      </c>
      <c r="AI59" s="545"/>
    </row>
    <row r="60" spans="1:35" x14ac:dyDescent="0.15">
      <c r="A60" s="696"/>
      <c r="B60" s="669"/>
      <c r="C60" s="668"/>
      <c r="D60" s="669"/>
      <c r="E60" s="669"/>
      <c r="F60" s="681"/>
      <c r="G60" s="682"/>
      <c r="H60" s="217"/>
      <c r="I60" s="668"/>
      <c r="J60" s="669"/>
      <c r="K60" s="668"/>
      <c r="L60" s="2"/>
      <c r="M60" s="568"/>
      <c r="N60" s="546"/>
      <c r="O60" s="545"/>
      <c r="P60" s="546"/>
      <c r="Q60" s="546"/>
      <c r="R60" s="542"/>
      <c r="S60" s="543"/>
      <c r="T60" s="136"/>
      <c r="U60" s="545"/>
      <c r="V60" s="546"/>
      <c r="W60" s="545"/>
      <c r="X60" s="2"/>
      <c r="Y60" s="568"/>
      <c r="Z60" s="546"/>
      <c r="AA60" s="545"/>
      <c r="AB60" s="546"/>
      <c r="AC60" s="546"/>
      <c r="AD60" s="542"/>
      <c r="AE60" s="543"/>
      <c r="AF60" s="136"/>
      <c r="AG60" s="545"/>
      <c r="AH60" s="546"/>
      <c r="AI60" s="545"/>
    </row>
    <row r="61" spans="1:35" ht="23.25" customHeight="1" x14ac:dyDescent="0.15">
      <c r="A61" s="696"/>
      <c r="B61" s="218" t="s">
        <v>13</v>
      </c>
      <c r="C61" s="219" t="s">
        <v>30</v>
      </c>
      <c r="D61" s="218" t="s">
        <v>14</v>
      </c>
      <c r="E61" s="218" t="s">
        <v>40</v>
      </c>
      <c r="F61" s="665" t="s">
        <v>15</v>
      </c>
      <c r="G61" s="666"/>
      <c r="H61" s="220"/>
      <c r="I61" s="219" t="s">
        <v>30</v>
      </c>
      <c r="J61" s="218" t="s">
        <v>40</v>
      </c>
      <c r="K61" s="218" t="s">
        <v>40</v>
      </c>
      <c r="L61" s="2"/>
      <c r="M61" s="568"/>
      <c r="N61" s="137" t="s">
        <v>152</v>
      </c>
      <c r="O61" s="138" t="s">
        <v>30</v>
      </c>
      <c r="P61" s="137" t="s">
        <v>14</v>
      </c>
      <c r="Q61" s="137" t="s">
        <v>40</v>
      </c>
      <c r="R61" s="549" t="s">
        <v>15</v>
      </c>
      <c r="S61" s="550"/>
      <c r="T61" s="139"/>
      <c r="U61" s="138" t="s">
        <v>30</v>
      </c>
      <c r="V61" s="137" t="s">
        <v>40</v>
      </c>
      <c r="W61" s="137" t="s">
        <v>40</v>
      </c>
      <c r="X61" s="2"/>
      <c r="Y61" s="568"/>
      <c r="Z61" s="137" t="s">
        <v>152</v>
      </c>
      <c r="AA61" s="138" t="s">
        <v>30</v>
      </c>
      <c r="AB61" s="137" t="s">
        <v>14</v>
      </c>
      <c r="AC61" s="137" t="s">
        <v>40</v>
      </c>
      <c r="AD61" s="549" t="s">
        <v>15</v>
      </c>
      <c r="AE61" s="550"/>
      <c r="AF61" s="139"/>
      <c r="AG61" s="138" t="s">
        <v>30</v>
      </c>
      <c r="AH61" s="137" t="s">
        <v>40</v>
      </c>
      <c r="AI61" s="137" t="s">
        <v>40</v>
      </c>
    </row>
    <row r="62" spans="1:35" ht="15.75" customHeight="1" thickBot="1" x14ac:dyDescent="0.2">
      <c r="A62" s="697"/>
      <c r="B62" s="221" t="s">
        <v>16</v>
      </c>
      <c r="C62" s="221" t="s">
        <v>17</v>
      </c>
      <c r="D62" s="221" t="s">
        <v>18</v>
      </c>
      <c r="E62" s="221" t="s">
        <v>19</v>
      </c>
      <c r="F62" s="222"/>
      <c r="G62" s="223" t="s">
        <v>20</v>
      </c>
      <c r="H62" s="223"/>
      <c r="I62" s="221" t="s">
        <v>21</v>
      </c>
      <c r="J62" s="221" t="s">
        <v>22</v>
      </c>
      <c r="K62" s="223" t="s">
        <v>23</v>
      </c>
      <c r="L62" s="2"/>
      <c r="M62" s="569"/>
      <c r="N62" s="122" t="s">
        <v>16</v>
      </c>
      <c r="O62" s="122" t="s">
        <v>17</v>
      </c>
      <c r="P62" s="122" t="s">
        <v>18</v>
      </c>
      <c r="Q62" s="122" t="s">
        <v>19</v>
      </c>
      <c r="R62" s="140"/>
      <c r="S62" s="141" t="s">
        <v>20</v>
      </c>
      <c r="T62" s="141"/>
      <c r="U62" s="122" t="s">
        <v>21</v>
      </c>
      <c r="V62" s="122" t="s">
        <v>22</v>
      </c>
      <c r="W62" s="141" t="s">
        <v>23</v>
      </c>
      <c r="X62" s="2"/>
      <c r="Y62" s="569"/>
      <c r="Z62" s="122" t="s">
        <v>16</v>
      </c>
      <c r="AA62" s="122" t="s">
        <v>17</v>
      </c>
      <c r="AB62" s="122" t="s">
        <v>18</v>
      </c>
      <c r="AC62" s="122" t="s">
        <v>19</v>
      </c>
      <c r="AD62" s="140"/>
      <c r="AE62" s="141" t="s">
        <v>20</v>
      </c>
      <c r="AF62" s="141"/>
      <c r="AG62" s="122" t="s">
        <v>21</v>
      </c>
      <c r="AH62" s="122" t="s">
        <v>22</v>
      </c>
      <c r="AI62" s="141" t="s">
        <v>23</v>
      </c>
    </row>
    <row r="63" spans="1:35" ht="30" customHeight="1" x14ac:dyDescent="0.15">
      <c r="A63" s="224" t="s">
        <v>83</v>
      </c>
      <c r="B63" s="225">
        <v>148</v>
      </c>
      <c r="C63" s="226">
        <v>1296</v>
      </c>
      <c r="D63" s="225">
        <v>100</v>
      </c>
      <c r="E63" s="228">
        <f t="shared" ref="E63:E74" si="36">ROUNDDOWN(B63*C63*((185-D63)/100),2)</f>
        <v>163036.79999999999</v>
      </c>
      <c r="F63" s="253" t="s">
        <v>85</v>
      </c>
      <c r="G63" s="254">
        <v>16842</v>
      </c>
      <c r="H63" s="230"/>
      <c r="I63" s="226">
        <v>16.87</v>
      </c>
      <c r="J63" s="228">
        <f t="shared" ref="J63:J74" si="37">ROUNDDOWN(G63*I63,2)</f>
        <v>284124.53999999998</v>
      </c>
      <c r="K63" s="231">
        <f t="shared" ref="K63:K74" si="38">ROUNDDOWN(J63+E63,2)</f>
        <v>447161.34</v>
      </c>
      <c r="L63" s="2"/>
      <c r="M63" s="142" t="s">
        <v>83</v>
      </c>
      <c r="N63" s="143">
        <v>148</v>
      </c>
      <c r="O63" s="123">
        <v>2008.8</v>
      </c>
      <c r="P63" s="163">
        <v>100</v>
      </c>
      <c r="Q63" s="98">
        <f t="shared" ref="Q63:Q74" si="39">ROUNDDOWN(N63*O63*((185-P63)/100),2)</f>
        <v>252707.04</v>
      </c>
      <c r="R63" s="166" t="s">
        <v>85</v>
      </c>
      <c r="S63" s="167">
        <v>16842</v>
      </c>
      <c r="T63" s="146"/>
      <c r="U63" s="124">
        <v>11.87</v>
      </c>
      <c r="V63" s="98">
        <f t="shared" ref="V63:V74" si="40">ROUNDDOWN(S63*U63,2)</f>
        <v>199914.54</v>
      </c>
      <c r="W63" s="147">
        <f t="shared" ref="W63:W74" si="41">ROUNDDOWN(V63+Q63,2)</f>
        <v>452621.58</v>
      </c>
      <c r="X63" s="2"/>
      <c r="Y63" s="142" t="s">
        <v>83</v>
      </c>
      <c r="Z63" s="143">
        <v>148</v>
      </c>
      <c r="AA63" s="123">
        <v>2008.8</v>
      </c>
      <c r="AB63" s="163">
        <v>100</v>
      </c>
      <c r="AC63" s="98">
        <f t="shared" ref="AC63:AC74" si="42">ROUNDDOWN(Z63*AA63*((185-AB63)/100),2)</f>
        <v>252707.04</v>
      </c>
      <c r="AD63" s="166" t="s">
        <v>85</v>
      </c>
      <c r="AE63" s="167">
        <v>16842</v>
      </c>
      <c r="AF63" s="146"/>
      <c r="AG63" s="124">
        <v>11.87</v>
      </c>
      <c r="AH63" s="98">
        <f t="shared" ref="AH63:AH74" si="43">ROUNDDOWN(AE63*AG63,2)</f>
        <v>199914.54</v>
      </c>
      <c r="AI63" s="147">
        <f t="shared" ref="AI63:AI74" si="44">ROUNDDOWN(AH63+AC63,2)</f>
        <v>452621.58</v>
      </c>
    </row>
    <row r="64" spans="1:35" ht="30" customHeight="1" x14ac:dyDescent="0.15">
      <c r="A64" s="232" t="s">
        <v>72</v>
      </c>
      <c r="B64" s="233">
        <f t="shared" ref="B64:B74" si="45">B63</f>
        <v>148</v>
      </c>
      <c r="C64" s="234">
        <f t="shared" ref="C64:C74" si="46">C63</f>
        <v>1296</v>
      </c>
      <c r="D64" s="235">
        <f t="shared" ref="D64:D74" si="47">D63</f>
        <v>100</v>
      </c>
      <c r="E64" s="228">
        <f t="shared" si="36"/>
        <v>163036.79999999999</v>
      </c>
      <c r="F64" s="229" t="s">
        <v>112</v>
      </c>
      <c r="G64" s="230">
        <v>15962</v>
      </c>
      <c r="H64" s="230"/>
      <c r="I64" s="234">
        <f>I63</f>
        <v>16.87</v>
      </c>
      <c r="J64" s="228">
        <f t="shared" si="37"/>
        <v>269278.94</v>
      </c>
      <c r="K64" s="231">
        <f t="shared" si="38"/>
        <v>432315.74</v>
      </c>
      <c r="L64" s="2"/>
      <c r="M64" s="148" t="s">
        <v>72</v>
      </c>
      <c r="N64" s="149">
        <f t="shared" ref="N64:N74" si="48">N63</f>
        <v>148</v>
      </c>
      <c r="O64" s="125">
        <f t="shared" ref="O64:O74" si="49">O63</f>
        <v>2008.8</v>
      </c>
      <c r="P64" s="106">
        <f t="shared" ref="P64:P74" si="50">P63</f>
        <v>100</v>
      </c>
      <c r="Q64" s="98">
        <f t="shared" si="39"/>
        <v>252707.04</v>
      </c>
      <c r="R64" s="145" t="s">
        <v>112</v>
      </c>
      <c r="S64" s="146">
        <v>15962</v>
      </c>
      <c r="T64" s="146"/>
      <c r="U64" s="125">
        <f>U63</f>
        <v>11.87</v>
      </c>
      <c r="V64" s="98">
        <f t="shared" si="40"/>
        <v>189468.94</v>
      </c>
      <c r="W64" s="147">
        <f t="shared" si="41"/>
        <v>442175.98</v>
      </c>
      <c r="X64" s="2"/>
      <c r="Y64" s="148" t="s">
        <v>72</v>
      </c>
      <c r="Z64" s="149">
        <f t="shared" ref="Z64:Z74" si="51">Z63</f>
        <v>148</v>
      </c>
      <c r="AA64" s="125">
        <f t="shared" ref="AA64:AA74" si="52">AA63</f>
        <v>2008.8</v>
      </c>
      <c r="AB64" s="106">
        <f t="shared" ref="AB64:AB74" si="53">AB63</f>
        <v>100</v>
      </c>
      <c r="AC64" s="98">
        <f t="shared" si="42"/>
        <v>252707.04</v>
      </c>
      <c r="AD64" s="145" t="s">
        <v>112</v>
      </c>
      <c r="AE64" s="146">
        <v>15962</v>
      </c>
      <c r="AF64" s="146"/>
      <c r="AG64" s="125">
        <f>AG63</f>
        <v>11.87</v>
      </c>
      <c r="AH64" s="98">
        <f t="shared" si="43"/>
        <v>189468.94</v>
      </c>
      <c r="AI64" s="147">
        <f t="shared" si="44"/>
        <v>442175.98</v>
      </c>
    </row>
    <row r="65" spans="1:35" ht="30" customHeight="1" x14ac:dyDescent="0.15">
      <c r="A65" s="232" t="s">
        <v>73</v>
      </c>
      <c r="B65" s="233">
        <f t="shared" si="45"/>
        <v>148</v>
      </c>
      <c r="C65" s="234">
        <f t="shared" si="46"/>
        <v>1296</v>
      </c>
      <c r="D65" s="235">
        <f t="shared" si="47"/>
        <v>100</v>
      </c>
      <c r="E65" s="228">
        <f t="shared" si="36"/>
        <v>163036.79999999999</v>
      </c>
      <c r="F65" s="229" t="s">
        <v>9</v>
      </c>
      <c r="G65" s="230">
        <v>16281</v>
      </c>
      <c r="H65" s="230"/>
      <c r="I65" s="234">
        <f>I64</f>
        <v>16.87</v>
      </c>
      <c r="J65" s="228">
        <f t="shared" si="37"/>
        <v>274660.46999999997</v>
      </c>
      <c r="K65" s="231">
        <f t="shared" si="38"/>
        <v>437697.27</v>
      </c>
      <c r="L65" s="2"/>
      <c r="M65" s="148" t="s">
        <v>73</v>
      </c>
      <c r="N65" s="149">
        <f t="shared" si="48"/>
        <v>148</v>
      </c>
      <c r="O65" s="125">
        <f t="shared" si="49"/>
        <v>2008.8</v>
      </c>
      <c r="P65" s="106">
        <f t="shared" si="50"/>
        <v>100</v>
      </c>
      <c r="Q65" s="98">
        <f t="shared" si="39"/>
        <v>252707.04</v>
      </c>
      <c r="R65" s="145" t="s">
        <v>9</v>
      </c>
      <c r="S65" s="146">
        <v>16281</v>
      </c>
      <c r="T65" s="146"/>
      <c r="U65" s="125">
        <f>U64</f>
        <v>11.87</v>
      </c>
      <c r="V65" s="98">
        <f t="shared" si="40"/>
        <v>193255.47</v>
      </c>
      <c r="W65" s="147">
        <f t="shared" si="41"/>
        <v>445962.51</v>
      </c>
      <c r="X65" s="2"/>
      <c r="Y65" s="148" t="s">
        <v>73</v>
      </c>
      <c r="Z65" s="149">
        <f t="shared" si="51"/>
        <v>148</v>
      </c>
      <c r="AA65" s="125">
        <f t="shared" si="52"/>
        <v>2008.8</v>
      </c>
      <c r="AB65" s="106">
        <f t="shared" si="53"/>
        <v>100</v>
      </c>
      <c r="AC65" s="98">
        <f t="shared" si="42"/>
        <v>252707.04</v>
      </c>
      <c r="AD65" s="145" t="s">
        <v>9</v>
      </c>
      <c r="AE65" s="146">
        <v>16281</v>
      </c>
      <c r="AF65" s="146"/>
      <c r="AG65" s="125">
        <f>AG64</f>
        <v>11.87</v>
      </c>
      <c r="AH65" s="98">
        <f t="shared" si="43"/>
        <v>193255.47</v>
      </c>
      <c r="AI65" s="147">
        <f t="shared" si="44"/>
        <v>445962.51</v>
      </c>
    </row>
    <row r="66" spans="1:35" ht="30" customHeight="1" x14ac:dyDescent="0.15">
      <c r="A66" s="232" t="s">
        <v>74</v>
      </c>
      <c r="B66" s="233">
        <f t="shared" si="45"/>
        <v>148</v>
      </c>
      <c r="C66" s="234">
        <f t="shared" si="46"/>
        <v>1296</v>
      </c>
      <c r="D66" s="235">
        <f t="shared" si="47"/>
        <v>100</v>
      </c>
      <c r="E66" s="228">
        <f t="shared" si="36"/>
        <v>163036.79999999999</v>
      </c>
      <c r="F66" s="229" t="s">
        <v>9</v>
      </c>
      <c r="G66" s="230">
        <v>5226</v>
      </c>
      <c r="H66" s="230"/>
      <c r="I66" s="234">
        <f>I65</f>
        <v>16.87</v>
      </c>
      <c r="J66" s="228">
        <f t="shared" si="37"/>
        <v>88162.62</v>
      </c>
      <c r="K66" s="231">
        <f t="shared" si="38"/>
        <v>251199.42</v>
      </c>
      <c r="L66" s="2"/>
      <c r="M66" s="148" t="s">
        <v>74</v>
      </c>
      <c r="N66" s="149">
        <f t="shared" si="48"/>
        <v>148</v>
      </c>
      <c r="O66" s="125">
        <f t="shared" si="49"/>
        <v>2008.8</v>
      </c>
      <c r="P66" s="106">
        <f t="shared" si="50"/>
        <v>100</v>
      </c>
      <c r="Q66" s="98">
        <f t="shared" si="39"/>
        <v>252707.04</v>
      </c>
      <c r="R66" s="145" t="s">
        <v>9</v>
      </c>
      <c r="S66" s="146">
        <v>5226</v>
      </c>
      <c r="T66" s="146"/>
      <c r="U66" s="125">
        <f>U65</f>
        <v>11.87</v>
      </c>
      <c r="V66" s="98">
        <f t="shared" si="40"/>
        <v>62032.62</v>
      </c>
      <c r="W66" s="147">
        <f t="shared" si="41"/>
        <v>314739.65999999997</v>
      </c>
      <c r="X66" s="2"/>
      <c r="Y66" s="148" t="s">
        <v>74</v>
      </c>
      <c r="Z66" s="149">
        <f t="shared" si="51"/>
        <v>148</v>
      </c>
      <c r="AA66" s="125">
        <f t="shared" si="52"/>
        <v>2008.8</v>
      </c>
      <c r="AB66" s="106">
        <f t="shared" si="53"/>
        <v>100</v>
      </c>
      <c r="AC66" s="98">
        <f t="shared" si="42"/>
        <v>252707.04</v>
      </c>
      <c r="AD66" s="145" t="s">
        <v>9</v>
      </c>
      <c r="AE66" s="146">
        <v>5226</v>
      </c>
      <c r="AF66" s="146"/>
      <c r="AG66" s="125">
        <f>AG65</f>
        <v>11.87</v>
      </c>
      <c r="AH66" s="98">
        <f t="shared" si="43"/>
        <v>62032.62</v>
      </c>
      <c r="AI66" s="147">
        <f t="shared" si="44"/>
        <v>314739.65999999997</v>
      </c>
    </row>
    <row r="67" spans="1:35" ht="30" customHeight="1" x14ac:dyDescent="0.15">
      <c r="A67" s="232" t="s">
        <v>75</v>
      </c>
      <c r="B67" s="233">
        <f t="shared" si="45"/>
        <v>148</v>
      </c>
      <c r="C67" s="234">
        <f t="shared" si="46"/>
        <v>1296</v>
      </c>
      <c r="D67" s="235">
        <f t="shared" si="47"/>
        <v>100</v>
      </c>
      <c r="E67" s="228">
        <f t="shared" si="36"/>
        <v>163036.79999999999</v>
      </c>
      <c r="F67" s="229" t="s">
        <v>9</v>
      </c>
      <c r="G67" s="230">
        <v>8316</v>
      </c>
      <c r="H67" s="230"/>
      <c r="I67" s="234">
        <f>I66</f>
        <v>16.87</v>
      </c>
      <c r="J67" s="228">
        <f t="shared" si="37"/>
        <v>140290.92000000001</v>
      </c>
      <c r="K67" s="231">
        <f t="shared" si="38"/>
        <v>303327.71999999997</v>
      </c>
      <c r="L67" s="2"/>
      <c r="M67" s="148" t="s">
        <v>75</v>
      </c>
      <c r="N67" s="149">
        <f t="shared" si="48"/>
        <v>148</v>
      </c>
      <c r="O67" s="125">
        <f t="shared" si="49"/>
        <v>2008.8</v>
      </c>
      <c r="P67" s="106">
        <f t="shared" si="50"/>
        <v>100</v>
      </c>
      <c r="Q67" s="98">
        <f t="shared" si="39"/>
        <v>252707.04</v>
      </c>
      <c r="R67" s="145" t="s">
        <v>9</v>
      </c>
      <c r="S67" s="146">
        <v>8316</v>
      </c>
      <c r="T67" s="146"/>
      <c r="U67" s="125">
        <f>U66</f>
        <v>11.87</v>
      </c>
      <c r="V67" s="98">
        <f t="shared" si="40"/>
        <v>98710.92</v>
      </c>
      <c r="W67" s="147">
        <f t="shared" si="41"/>
        <v>351417.96</v>
      </c>
      <c r="X67" s="2"/>
      <c r="Y67" s="148" t="s">
        <v>75</v>
      </c>
      <c r="Z67" s="149">
        <f t="shared" si="51"/>
        <v>148</v>
      </c>
      <c r="AA67" s="125">
        <f t="shared" si="52"/>
        <v>2008.8</v>
      </c>
      <c r="AB67" s="106">
        <f t="shared" si="53"/>
        <v>100</v>
      </c>
      <c r="AC67" s="98">
        <f t="shared" si="42"/>
        <v>252707.04</v>
      </c>
      <c r="AD67" s="145" t="s">
        <v>9</v>
      </c>
      <c r="AE67" s="146">
        <v>8316</v>
      </c>
      <c r="AF67" s="146"/>
      <c r="AG67" s="125">
        <f>AG66</f>
        <v>11.87</v>
      </c>
      <c r="AH67" s="98">
        <f t="shared" si="43"/>
        <v>98710.92</v>
      </c>
      <c r="AI67" s="147">
        <f t="shared" si="44"/>
        <v>351417.96</v>
      </c>
    </row>
    <row r="68" spans="1:35" ht="30" customHeight="1" x14ac:dyDescent="0.15">
      <c r="A68" s="232" t="s">
        <v>76</v>
      </c>
      <c r="B68" s="233">
        <f t="shared" si="45"/>
        <v>148</v>
      </c>
      <c r="C68" s="234">
        <f t="shared" si="46"/>
        <v>1296</v>
      </c>
      <c r="D68" s="235">
        <f t="shared" si="47"/>
        <v>100</v>
      </c>
      <c r="E68" s="228">
        <f t="shared" si="36"/>
        <v>163036.79999999999</v>
      </c>
      <c r="F68" s="229" t="s">
        <v>9</v>
      </c>
      <c r="G68" s="230">
        <v>13164</v>
      </c>
      <c r="H68" s="230"/>
      <c r="I68" s="234">
        <f>I67</f>
        <v>16.87</v>
      </c>
      <c r="J68" s="228">
        <f t="shared" si="37"/>
        <v>222076.68</v>
      </c>
      <c r="K68" s="231">
        <f t="shared" si="38"/>
        <v>385113.48</v>
      </c>
      <c r="L68" s="2"/>
      <c r="M68" s="148" t="s">
        <v>76</v>
      </c>
      <c r="N68" s="149">
        <f t="shared" si="48"/>
        <v>148</v>
      </c>
      <c r="O68" s="125">
        <f t="shared" si="49"/>
        <v>2008.8</v>
      </c>
      <c r="P68" s="106">
        <f t="shared" si="50"/>
        <v>100</v>
      </c>
      <c r="Q68" s="98">
        <f t="shared" si="39"/>
        <v>252707.04</v>
      </c>
      <c r="R68" s="145" t="s">
        <v>9</v>
      </c>
      <c r="S68" s="146">
        <v>13164</v>
      </c>
      <c r="T68" s="146"/>
      <c r="U68" s="125">
        <f>U67</f>
        <v>11.87</v>
      </c>
      <c r="V68" s="98">
        <f t="shared" si="40"/>
        <v>156256.68</v>
      </c>
      <c r="W68" s="147">
        <f t="shared" si="41"/>
        <v>408963.72</v>
      </c>
      <c r="X68" s="2"/>
      <c r="Y68" s="148" t="s">
        <v>76</v>
      </c>
      <c r="Z68" s="149">
        <f t="shared" si="51"/>
        <v>148</v>
      </c>
      <c r="AA68" s="125">
        <f t="shared" si="52"/>
        <v>2008.8</v>
      </c>
      <c r="AB68" s="106">
        <f t="shared" si="53"/>
        <v>100</v>
      </c>
      <c r="AC68" s="98">
        <f t="shared" si="42"/>
        <v>252707.04</v>
      </c>
      <c r="AD68" s="145" t="s">
        <v>9</v>
      </c>
      <c r="AE68" s="146">
        <v>13164</v>
      </c>
      <c r="AF68" s="146"/>
      <c r="AG68" s="125">
        <f>AG67</f>
        <v>11.87</v>
      </c>
      <c r="AH68" s="98">
        <f t="shared" si="43"/>
        <v>156256.68</v>
      </c>
      <c r="AI68" s="147">
        <f t="shared" si="44"/>
        <v>408963.72</v>
      </c>
    </row>
    <row r="69" spans="1:35" ht="30" customHeight="1" x14ac:dyDescent="0.15">
      <c r="A69" s="232" t="s">
        <v>77</v>
      </c>
      <c r="B69" s="233">
        <f t="shared" si="45"/>
        <v>148</v>
      </c>
      <c r="C69" s="234">
        <f t="shared" si="46"/>
        <v>1296</v>
      </c>
      <c r="D69" s="235">
        <f t="shared" si="47"/>
        <v>100</v>
      </c>
      <c r="E69" s="228">
        <f t="shared" si="36"/>
        <v>163036.79999999999</v>
      </c>
      <c r="F69" s="229" t="s">
        <v>71</v>
      </c>
      <c r="G69" s="230">
        <v>22632</v>
      </c>
      <c r="H69" s="230"/>
      <c r="I69" s="226">
        <v>18.29</v>
      </c>
      <c r="J69" s="228">
        <f t="shared" si="37"/>
        <v>413939.28</v>
      </c>
      <c r="K69" s="231">
        <f t="shared" si="38"/>
        <v>576976.07999999996</v>
      </c>
      <c r="L69" s="2"/>
      <c r="M69" s="148" t="s">
        <v>77</v>
      </c>
      <c r="N69" s="149">
        <f t="shared" si="48"/>
        <v>148</v>
      </c>
      <c r="O69" s="125">
        <f t="shared" si="49"/>
        <v>2008.8</v>
      </c>
      <c r="P69" s="106">
        <f t="shared" si="50"/>
        <v>100</v>
      </c>
      <c r="Q69" s="98">
        <f t="shared" si="39"/>
        <v>252707.04</v>
      </c>
      <c r="R69" s="145" t="s">
        <v>71</v>
      </c>
      <c r="S69" s="146">
        <v>22632</v>
      </c>
      <c r="T69" s="146"/>
      <c r="U69" s="124">
        <v>12.78</v>
      </c>
      <c r="V69" s="98">
        <f t="shared" si="40"/>
        <v>289236.96000000002</v>
      </c>
      <c r="W69" s="147">
        <f t="shared" si="41"/>
        <v>541944</v>
      </c>
      <c r="X69" s="2"/>
      <c r="Y69" s="148" t="s">
        <v>77</v>
      </c>
      <c r="Z69" s="149">
        <f t="shared" si="51"/>
        <v>148</v>
      </c>
      <c r="AA69" s="125">
        <f t="shared" si="52"/>
        <v>2008.8</v>
      </c>
      <c r="AB69" s="106">
        <f t="shared" si="53"/>
        <v>100</v>
      </c>
      <c r="AC69" s="98">
        <f t="shared" si="42"/>
        <v>252707.04</v>
      </c>
      <c r="AD69" s="145" t="s">
        <v>71</v>
      </c>
      <c r="AE69" s="146">
        <v>22632</v>
      </c>
      <c r="AF69" s="146"/>
      <c r="AG69" s="124">
        <v>12.78</v>
      </c>
      <c r="AH69" s="98">
        <f t="shared" si="43"/>
        <v>289236.96000000002</v>
      </c>
      <c r="AI69" s="147">
        <f t="shared" si="44"/>
        <v>541944</v>
      </c>
    </row>
    <row r="70" spans="1:35" ht="30" customHeight="1" x14ac:dyDescent="0.15">
      <c r="A70" s="232" t="s">
        <v>78</v>
      </c>
      <c r="B70" s="233">
        <f t="shared" si="45"/>
        <v>148</v>
      </c>
      <c r="C70" s="234">
        <f t="shared" si="46"/>
        <v>1296</v>
      </c>
      <c r="D70" s="235">
        <f t="shared" si="47"/>
        <v>100</v>
      </c>
      <c r="E70" s="228">
        <f t="shared" si="36"/>
        <v>163036.79999999999</v>
      </c>
      <c r="F70" s="229" t="s">
        <v>71</v>
      </c>
      <c r="G70" s="230">
        <v>16488</v>
      </c>
      <c r="H70" s="230"/>
      <c r="I70" s="234">
        <f>I69</f>
        <v>18.29</v>
      </c>
      <c r="J70" s="228">
        <f t="shared" si="37"/>
        <v>301565.52</v>
      </c>
      <c r="K70" s="231">
        <f t="shared" si="38"/>
        <v>464602.32</v>
      </c>
      <c r="L70" s="2"/>
      <c r="M70" s="148" t="s">
        <v>78</v>
      </c>
      <c r="N70" s="149">
        <f t="shared" si="48"/>
        <v>148</v>
      </c>
      <c r="O70" s="125">
        <f t="shared" si="49"/>
        <v>2008.8</v>
      </c>
      <c r="P70" s="106">
        <f t="shared" si="50"/>
        <v>100</v>
      </c>
      <c r="Q70" s="98">
        <f t="shared" si="39"/>
        <v>252707.04</v>
      </c>
      <c r="R70" s="145" t="s">
        <v>71</v>
      </c>
      <c r="S70" s="146">
        <v>16488</v>
      </c>
      <c r="T70" s="146"/>
      <c r="U70" s="125">
        <f>U69</f>
        <v>12.78</v>
      </c>
      <c r="V70" s="98">
        <f t="shared" si="40"/>
        <v>210716.64</v>
      </c>
      <c r="W70" s="147">
        <f t="shared" si="41"/>
        <v>463423.68</v>
      </c>
      <c r="X70" s="2"/>
      <c r="Y70" s="148" t="s">
        <v>78</v>
      </c>
      <c r="Z70" s="149">
        <f t="shared" si="51"/>
        <v>148</v>
      </c>
      <c r="AA70" s="125">
        <f t="shared" si="52"/>
        <v>2008.8</v>
      </c>
      <c r="AB70" s="106">
        <f t="shared" si="53"/>
        <v>100</v>
      </c>
      <c r="AC70" s="98">
        <f t="shared" si="42"/>
        <v>252707.04</v>
      </c>
      <c r="AD70" s="145" t="s">
        <v>71</v>
      </c>
      <c r="AE70" s="146">
        <v>16488</v>
      </c>
      <c r="AF70" s="146"/>
      <c r="AG70" s="125">
        <f>AG69</f>
        <v>12.78</v>
      </c>
      <c r="AH70" s="98">
        <f t="shared" si="43"/>
        <v>210716.64</v>
      </c>
      <c r="AI70" s="147">
        <f t="shared" si="44"/>
        <v>463423.68</v>
      </c>
    </row>
    <row r="71" spans="1:35" ht="30" customHeight="1" x14ac:dyDescent="0.15">
      <c r="A71" s="232" t="s">
        <v>79</v>
      </c>
      <c r="B71" s="233">
        <f t="shared" si="45"/>
        <v>148</v>
      </c>
      <c r="C71" s="234">
        <f t="shared" si="46"/>
        <v>1296</v>
      </c>
      <c r="D71" s="235">
        <f t="shared" si="47"/>
        <v>100</v>
      </c>
      <c r="E71" s="228">
        <f t="shared" si="36"/>
        <v>163036.79999999999</v>
      </c>
      <c r="F71" s="229" t="s">
        <v>71</v>
      </c>
      <c r="G71" s="230">
        <f>9154+2288</f>
        <v>11442</v>
      </c>
      <c r="H71" s="230"/>
      <c r="I71" s="234">
        <f>I70</f>
        <v>18.29</v>
      </c>
      <c r="J71" s="228">
        <f t="shared" si="37"/>
        <v>209274.18</v>
      </c>
      <c r="K71" s="231">
        <f t="shared" si="38"/>
        <v>372310.98</v>
      </c>
      <c r="L71" s="2"/>
      <c r="M71" s="148" t="s">
        <v>79</v>
      </c>
      <c r="N71" s="149">
        <f t="shared" si="48"/>
        <v>148</v>
      </c>
      <c r="O71" s="125">
        <f t="shared" si="49"/>
        <v>2008.8</v>
      </c>
      <c r="P71" s="106">
        <f t="shared" si="50"/>
        <v>100</v>
      </c>
      <c r="Q71" s="98">
        <f t="shared" si="39"/>
        <v>252707.04</v>
      </c>
      <c r="R71" s="145" t="s">
        <v>71</v>
      </c>
      <c r="S71" s="146">
        <f>9154+2288</f>
        <v>11442</v>
      </c>
      <c r="T71" s="146"/>
      <c r="U71" s="125">
        <f>U70</f>
        <v>12.78</v>
      </c>
      <c r="V71" s="98">
        <f t="shared" si="40"/>
        <v>146228.76</v>
      </c>
      <c r="W71" s="147">
        <f t="shared" si="41"/>
        <v>398935.8</v>
      </c>
      <c r="X71" s="2"/>
      <c r="Y71" s="148" t="s">
        <v>79</v>
      </c>
      <c r="Z71" s="149">
        <f t="shared" si="51"/>
        <v>148</v>
      </c>
      <c r="AA71" s="125">
        <f t="shared" si="52"/>
        <v>2008.8</v>
      </c>
      <c r="AB71" s="106">
        <f t="shared" si="53"/>
        <v>100</v>
      </c>
      <c r="AC71" s="98">
        <f t="shared" si="42"/>
        <v>252707.04</v>
      </c>
      <c r="AD71" s="145" t="s">
        <v>71</v>
      </c>
      <c r="AE71" s="146">
        <f>9154+2288</f>
        <v>11442</v>
      </c>
      <c r="AF71" s="146"/>
      <c r="AG71" s="125">
        <f>AG70</f>
        <v>12.78</v>
      </c>
      <c r="AH71" s="98">
        <f t="shared" si="43"/>
        <v>146228.76</v>
      </c>
      <c r="AI71" s="147">
        <f t="shared" si="44"/>
        <v>398935.8</v>
      </c>
    </row>
    <row r="72" spans="1:35" ht="30" customHeight="1" x14ac:dyDescent="0.15">
      <c r="A72" s="232" t="s">
        <v>80</v>
      </c>
      <c r="B72" s="233">
        <f t="shared" si="45"/>
        <v>148</v>
      </c>
      <c r="C72" s="234">
        <f t="shared" si="46"/>
        <v>1296</v>
      </c>
      <c r="D72" s="235">
        <f t="shared" si="47"/>
        <v>100</v>
      </c>
      <c r="E72" s="228">
        <f t="shared" si="36"/>
        <v>163036.79999999999</v>
      </c>
      <c r="F72" s="229" t="s">
        <v>9</v>
      </c>
      <c r="G72" s="230">
        <v>6024</v>
      </c>
      <c r="H72" s="230"/>
      <c r="I72" s="234">
        <f>I63</f>
        <v>16.87</v>
      </c>
      <c r="J72" s="228">
        <f t="shared" si="37"/>
        <v>101624.88</v>
      </c>
      <c r="K72" s="231">
        <f t="shared" si="38"/>
        <v>264661.68</v>
      </c>
      <c r="L72" s="2"/>
      <c r="M72" s="148" t="s">
        <v>80</v>
      </c>
      <c r="N72" s="149">
        <f t="shared" si="48"/>
        <v>148</v>
      </c>
      <c r="O72" s="125">
        <f t="shared" si="49"/>
        <v>2008.8</v>
      </c>
      <c r="P72" s="106">
        <f t="shared" si="50"/>
        <v>100</v>
      </c>
      <c r="Q72" s="98">
        <f t="shared" si="39"/>
        <v>252707.04</v>
      </c>
      <c r="R72" s="145" t="s">
        <v>9</v>
      </c>
      <c r="S72" s="146">
        <v>6024</v>
      </c>
      <c r="T72" s="146"/>
      <c r="U72" s="125">
        <f>U63</f>
        <v>11.87</v>
      </c>
      <c r="V72" s="98">
        <f t="shared" si="40"/>
        <v>71504.88</v>
      </c>
      <c r="W72" s="147">
        <f t="shared" si="41"/>
        <v>324211.92</v>
      </c>
      <c r="X72" s="2"/>
      <c r="Y72" s="148" t="s">
        <v>80</v>
      </c>
      <c r="Z72" s="149">
        <f t="shared" si="51"/>
        <v>148</v>
      </c>
      <c r="AA72" s="125">
        <f t="shared" si="52"/>
        <v>2008.8</v>
      </c>
      <c r="AB72" s="106">
        <f t="shared" si="53"/>
        <v>100</v>
      </c>
      <c r="AC72" s="98">
        <f t="shared" si="42"/>
        <v>252707.04</v>
      </c>
      <c r="AD72" s="145" t="s">
        <v>9</v>
      </c>
      <c r="AE72" s="146">
        <v>6024</v>
      </c>
      <c r="AF72" s="146"/>
      <c r="AG72" s="125">
        <f>AG63</f>
        <v>11.87</v>
      </c>
      <c r="AH72" s="98">
        <f t="shared" si="43"/>
        <v>71504.88</v>
      </c>
      <c r="AI72" s="147">
        <f t="shared" si="44"/>
        <v>324211.92</v>
      </c>
    </row>
    <row r="73" spans="1:35" ht="30" customHeight="1" x14ac:dyDescent="0.15">
      <c r="A73" s="232" t="s">
        <v>81</v>
      </c>
      <c r="B73" s="233">
        <f t="shared" si="45"/>
        <v>148</v>
      </c>
      <c r="C73" s="234">
        <f t="shared" si="46"/>
        <v>1296</v>
      </c>
      <c r="D73" s="235">
        <f t="shared" si="47"/>
        <v>100</v>
      </c>
      <c r="E73" s="228">
        <f t="shared" si="36"/>
        <v>163036.79999999999</v>
      </c>
      <c r="F73" s="229" t="s">
        <v>9</v>
      </c>
      <c r="G73" s="230">
        <v>10074</v>
      </c>
      <c r="H73" s="230"/>
      <c r="I73" s="236">
        <f>I72</f>
        <v>16.87</v>
      </c>
      <c r="J73" s="228">
        <f t="shared" si="37"/>
        <v>169948.38</v>
      </c>
      <c r="K73" s="231">
        <f t="shared" si="38"/>
        <v>332985.18</v>
      </c>
      <c r="L73" s="2"/>
      <c r="M73" s="148" t="s">
        <v>81</v>
      </c>
      <c r="N73" s="149">
        <f t="shared" si="48"/>
        <v>148</v>
      </c>
      <c r="O73" s="125">
        <f t="shared" si="49"/>
        <v>2008.8</v>
      </c>
      <c r="P73" s="106">
        <f t="shared" si="50"/>
        <v>100</v>
      </c>
      <c r="Q73" s="98">
        <f t="shared" si="39"/>
        <v>252707.04</v>
      </c>
      <c r="R73" s="145" t="s">
        <v>9</v>
      </c>
      <c r="S73" s="146">
        <v>10074</v>
      </c>
      <c r="T73" s="146"/>
      <c r="U73" s="127">
        <f>U72</f>
        <v>11.87</v>
      </c>
      <c r="V73" s="98">
        <f t="shared" si="40"/>
        <v>119578.38</v>
      </c>
      <c r="W73" s="147">
        <f t="shared" si="41"/>
        <v>372285.42</v>
      </c>
      <c r="X73" s="2"/>
      <c r="Y73" s="148" t="s">
        <v>81</v>
      </c>
      <c r="Z73" s="149">
        <f t="shared" si="51"/>
        <v>148</v>
      </c>
      <c r="AA73" s="125">
        <f t="shared" si="52"/>
        <v>2008.8</v>
      </c>
      <c r="AB73" s="106">
        <f t="shared" si="53"/>
        <v>100</v>
      </c>
      <c r="AC73" s="98">
        <f t="shared" si="42"/>
        <v>252707.04</v>
      </c>
      <c r="AD73" s="145" t="s">
        <v>9</v>
      </c>
      <c r="AE73" s="146">
        <v>10074</v>
      </c>
      <c r="AF73" s="146"/>
      <c r="AG73" s="127">
        <f>AG72</f>
        <v>11.87</v>
      </c>
      <c r="AH73" s="98">
        <f t="shared" si="43"/>
        <v>119578.38</v>
      </c>
      <c r="AI73" s="147">
        <f t="shared" si="44"/>
        <v>372285.42</v>
      </c>
    </row>
    <row r="74" spans="1:35" ht="30" customHeight="1" thickBot="1" x14ac:dyDescent="0.2">
      <c r="A74" s="237" t="s">
        <v>82</v>
      </c>
      <c r="B74" s="238">
        <f t="shared" si="45"/>
        <v>148</v>
      </c>
      <c r="C74" s="239">
        <f t="shared" si="46"/>
        <v>1296</v>
      </c>
      <c r="D74" s="238">
        <f t="shared" si="47"/>
        <v>100</v>
      </c>
      <c r="E74" s="240">
        <f t="shared" si="36"/>
        <v>163036.79999999999</v>
      </c>
      <c r="F74" s="241" t="s">
        <v>9</v>
      </c>
      <c r="G74" s="242">
        <v>12582</v>
      </c>
      <c r="H74" s="242"/>
      <c r="I74" s="239">
        <f>I73</f>
        <v>16.87</v>
      </c>
      <c r="J74" s="240">
        <f t="shared" si="37"/>
        <v>212258.34</v>
      </c>
      <c r="K74" s="243">
        <f t="shared" si="38"/>
        <v>375295.14</v>
      </c>
      <c r="L74" s="89"/>
      <c r="M74" s="150" t="s">
        <v>82</v>
      </c>
      <c r="N74" s="151">
        <f t="shared" si="48"/>
        <v>148</v>
      </c>
      <c r="O74" s="126">
        <f t="shared" si="49"/>
        <v>2008.8</v>
      </c>
      <c r="P74" s="152">
        <f t="shared" si="50"/>
        <v>100</v>
      </c>
      <c r="Q74" s="99">
        <f t="shared" si="39"/>
        <v>252707.04</v>
      </c>
      <c r="R74" s="153" t="s">
        <v>9</v>
      </c>
      <c r="S74" s="154">
        <v>12582</v>
      </c>
      <c r="T74" s="154"/>
      <c r="U74" s="126">
        <f>U73</f>
        <v>11.87</v>
      </c>
      <c r="V74" s="99">
        <f t="shared" si="40"/>
        <v>149348.34</v>
      </c>
      <c r="W74" s="155">
        <f t="shared" si="41"/>
        <v>402055.38</v>
      </c>
      <c r="X74" s="89"/>
      <c r="Y74" s="150" t="s">
        <v>82</v>
      </c>
      <c r="Z74" s="151">
        <f t="shared" si="51"/>
        <v>148</v>
      </c>
      <c r="AA74" s="126">
        <f t="shared" si="52"/>
        <v>2008.8</v>
      </c>
      <c r="AB74" s="152">
        <f t="shared" si="53"/>
        <v>100</v>
      </c>
      <c r="AC74" s="99">
        <f t="shared" si="42"/>
        <v>252707.04</v>
      </c>
      <c r="AD74" s="153" t="s">
        <v>9</v>
      </c>
      <c r="AE74" s="154">
        <v>12582</v>
      </c>
      <c r="AF74" s="154"/>
      <c r="AG74" s="126">
        <f>AG73</f>
        <v>11.87</v>
      </c>
      <c r="AH74" s="99">
        <f t="shared" si="43"/>
        <v>149348.34</v>
      </c>
      <c r="AI74" s="155">
        <f t="shared" si="44"/>
        <v>402055.38</v>
      </c>
    </row>
    <row r="75" spans="1:35" ht="30" customHeight="1" thickBot="1" x14ac:dyDescent="0.2">
      <c r="A75" s="251" t="s">
        <v>41</v>
      </c>
      <c r="B75" s="245"/>
      <c r="C75" s="245"/>
      <c r="D75" s="245"/>
      <c r="E75" s="246">
        <f>SUM(E63:E74)</f>
        <v>1956441.6000000003</v>
      </c>
      <c r="F75" s="247"/>
      <c r="G75" s="248">
        <f>SUM(G63:G74)</f>
        <v>155033</v>
      </c>
      <c r="H75" s="248"/>
      <c r="I75" s="245"/>
      <c r="J75" s="246">
        <f>SUM(J63:J74)</f>
        <v>2687204.7499999995</v>
      </c>
      <c r="K75" s="249">
        <f>SUM(K63:K74)</f>
        <v>4643646.3499999996</v>
      </c>
      <c r="L75" s="89" t="s">
        <v>113</v>
      </c>
      <c r="M75" s="164" t="s">
        <v>41</v>
      </c>
      <c r="N75" s="157"/>
      <c r="O75" s="157"/>
      <c r="P75" s="157"/>
      <c r="Q75" s="158">
        <f>SUM(Q63:Q74)</f>
        <v>3032484.48</v>
      </c>
      <c r="R75" s="159"/>
      <c r="S75" s="160">
        <f>SUM(S63:S74)</f>
        <v>155033</v>
      </c>
      <c r="T75" s="160"/>
      <c r="U75" s="157"/>
      <c r="V75" s="158">
        <f>SUM(V63:V74)</f>
        <v>1886253.1300000001</v>
      </c>
      <c r="W75" s="161">
        <f>SUM(W63:W74)</f>
        <v>4918737.6100000003</v>
      </c>
      <c r="X75" s="89" t="s">
        <v>113</v>
      </c>
      <c r="Y75" s="164" t="s">
        <v>41</v>
      </c>
      <c r="Z75" s="157"/>
      <c r="AA75" s="157"/>
      <c r="AB75" s="157"/>
      <c r="AC75" s="158">
        <f>SUM(AC63:AC74)</f>
        <v>3032484.48</v>
      </c>
      <c r="AD75" s="159"/>
      <c r="AE75" s="160">
        <f>SUM(AE63:AE74)</f>
        <v>155033</v>
      </c>
      <c r="AF75" s="160"/>
      <c r="AG75" s="157"/>
      <c r="AH75" s="158">
        <f>SUM(AH63:AH74)</f>
        <v>1886253.1300000001</v>
      </c>
      <c r="AI75" s="161">
        <f>SUM(AI63:AI74)</f>
        <v>4918737.6100000003</v>
      </c>
    </row>
    <row r="76" spans="1:35" ht="15" customHeight="1" x14ac:dyDescent="0.15">
      <c r="A76" s="214"/>
      <c r="B76" s="250"/>
      <c r="C76" s="250"/>
      <c r="D76" s="250"/>
      <c r="E76" s="250"/>
      <c r="F76" s="250"/>
      <c r="G76" s="250"/>
      <c r="H76" s="250"/>
      <c r="I76" s="250"/>
      <c r="J76" s="250"/>
      <c r="K76" s="250"/>
      <c r="L76" s="2"/>
      <c r="N76" s="162"/>
      <c r="O76" s="162"/>
      <c r="P76" s="162"/>
      <c r="Q76" s="162"/>
      <c r="R76" s="162"/>
      <c r="S76" s="162"/>
      <c r="T76" s="162"/>
      <c r="U76" s="162"/>
      <c r="V76" s="162"/>
      <c r="W76" s="162"/>
      <c r="X76" s="2"/>
      <c r="Z76" s="162"/>
      <c r="AA76" s="162"/>
      <c r="AB76" s="162"/>
      <c r="AC76" s="162"/>
      <c r="AD76" s="162"/>
      <c r="AE76" s="162"/>
      <c r="AF76" s="162"/>
      <c r="AG76" s="162"/>
      <c r="AH76" s="162"/>
      <c r="AI76" s="162"/>
    </row>
    <row r="77" spans="1:35" x14ac:dyDescent="0.15">
      <c r="A77" s="5" t="s">
        <v>153</v>
      </c>
      <c r="B77" s="31">
        <f>B52+1</f>
        <v>4</v>
      </c>
      <c r="K77" s="551" t="str">
        <f>IF(K100-W100&lt;=0,"現状のまま","メニュー変更")</f>
        <v>メニュー変更</v>
      </c>
      <c r="L77" s="2"/>
      <c r="M77" s="255" t="s">
        <v>153</v>
      </c>
      <c r="N77" s="256">
        <f>N52+1</f>
        <v>4</v>
      </c>
      <c r="O77" s="257"/>
      <c r="P77" s="257"/>
      <c r="Q77" s="257"/>
      <c r="R77" s="257"/>
      <c r="S77" s="257"/>
      <c r="T77" s="257"/>
      <c r="U77" s="257"/>
      <c r="V77" s="257"/>
      <c r="W77" s="257"/>
      <c r="X77" s="2"/>
      <c r="Y77" s="47" t="s">
        <v>153</v>
      </c>
      <c r="Z77" s="62">
        <f>Z52+1</f>
        <v>4</v>
      </c>
    </row>
    <row r="78" spans="1:35" x14ac:dyDescent="0.15">
      <c r="K78" s="551"/>
      <c r="L78" s="2"/>
      <c r="M78" s="258"/>
      <c r="N78" s="257"/>
      <c r="O78" s="257"/>
      <c r="P78" s="257"/>
      <c r="Q78" s="257"/>
      <c r="R78" s="257"/>
      <c r="S78" s="257"/>
      <c r="T78" s="257"/>
      <c r="U78" s="257"/>
      <c r="V78" s="257"/>
      <c r="W78" s="257"/>
      <c r="X78" s="2"/>
    </row>
    <row r="79" spans="1:35" x14ac:dyDescent="0.15">
      <c r="K79" s="551"/>
      <c r="L79" s="1"/>
      <c r="M79" s="258"/>
      <c r="N79" s="257"/>
      <c r="O79" s="257"/>
      <c r="P79" s="257"/>
      <c r="Q79" s="257"/>
      <c r="R79" s="257"/>
      <c r="S79" s="257"/>
      <c r="T79" s="257"/>
      <c r="U79" s="257"/>
      <c r="V79" s="257"/>
      <c r="W79" s="258"/>
      <c r="X79" s="1"/>
      <c r="AI79" s="64"/>
    </row>
    <row r="80" spans="1:35" ht="17.25" x14ac:dyDescent="0.15">
      <c r="A80" s="552" t="str">
        <f>$A$5</f>
        <v>平成29年度小郡市役所庁舎外25施設電力需給</v>
      </c>
      <c r="B80" s="552"/>
      <c r="C80" s="552"/>
      <c r="D80" s="552"/>
      <c r="E80" s="552"/>
      <c r="F80" s="552"/>
      <c r="G80" s="552"/>
      <c r="H80" s="552"/>
      <c r="I80" s="552"/>
      <c r="J80" s="552"/>
      <c r="K80" s="552"/>
      <c r="L80" s="2"/>
      <c r="M80" s="721" t="str">
        <f>$A$5</f>
        <v>平成29年度小郡市役所庁舎外25施設電力需給</v>
      </c>
      <c r="N80" s="721"/>
      <c r="O80" s="721"/>
      <c r="P80" s="721"/>
      <c r="Q80" s="721"/>
      <c r="R80" s="721"/>
      <c r="S80" s="721"/>
      <c r="T80" s="721"/>
      <c r="U80" s="721"/>
      <c r="V80" s="721"/>
      <c r="W80" s="721"/>
      <c r="X80" s="2"/>
      <c r="Y80" s="553" t="str">
        <f>$A$5</f>
        <v>平成29年度小郡市役所庁舎外25施設電力需給</v>
      </c>
      <c r="Z80" s="553"/>
      <c r="AA80" s="553"/>
      <c r="AB80" s="553"/>
      <c r="AC80" s="553"/>
      <c r="AD80" s="553"/>
      <c r="AE80" s="553"/>
      <c r="AF80" s="553"/>
      <c r="AG80" s="553"/>
      <c r="AH80" s="553"/>
      <c r="AI80" s="553"/>
    </row>
    <row r="81" spans="1:35" x14ac:dyDescent="0.15">
      <c r="A81" s="554" t="str">
        <f>$A$6</f>
        <v>（平成３０年１月～平成３０年１２月期間中の予定金額）</v>
      </c>
      <c r="B81" s="554"/>
      <c r="C81" s="554"/>
      <c r="D81" s="554"/>
      <c r="E81" s="554"/>
      <c r="F81" s="554"/>
      <c r="G81" s="554"/>
      <c r="H81" s="554"/>
      <c r="I81" s="554"/>
      <c r="J81" s="554"/>
      <c r="K81" s="554"/>
      <c r="L81" s="2"/>
      <c r="M81" s="722" t="str">
        <f>$A$6</f>
        <v>（平成３０年１月～平成３０年１２月期間中の予定金額）</v>
      </c>
      <c r="N81" s="722"/>
      <c r="O81" s="722"/>
      <c r="P81" s="722"/>
      <c r="Q81" s="722"/>
      <c r="R81" s="722"/>
      <c r="S81" s="722"/>
      <c r="T81" s="722"/>
      <c r="U81" s="722"/>
      <c r="V81" s="722"/>
      <c r="W81" s="722"/>
      <c r="X81" s="2"/>
      <c r="Y81" s="555" t="str">
        <f>$A$6</f>
        <v>（平成３０年１月～平成３０年１２月期間中の予定金額）</v>
      </c>
      <c r="Z81" s="555"/>
      <c r="AA81" s="555"/>
      <c r="AB81" s="555"/>
      <c r="AC81" s="555"/>
      <c r="AD81" s="555"/>
      <c r="AE81" s="555"/>
      <c r="AF81" s="555"/>
      <c r="AG81" s="555"/>
      <c r="AH81" s="555"/>
      <c r="AI81" s="555"/>
    </row>
    <row r="82" spans="1:35" ht="14.25" thickBot="1" x14ac:dyDescent="0.2">
      <c r="A82" s="73" t="s">
        <v>133</v>
      </c>
      <c r="B82" s="73"/>
      <c r="K82" s="5" t="s">
        <v>70</v>
      </c>
      <c r="L82" s="2"/>
      <c r="M82" s="259" t="s">
        <v>133</v>
      </c>
      <c r="N82" s="259"/>
      <c r="O82" s="257"/>
      <c r="P82" s="257"/>
      <c r="Q82" s="257"/>
      <c r="R82" s="257"/>
      <c r="S82" s="257"/>
      <c r="T82" s="257"/>
      <c r="U82" s="257"/>
      <c r="V82" s="257"/>
      <c r="W82" s="255" t="s">
        <v>84</v>
      </c>
      <c r="X82" s="2"/>
      <c r="Y82" s="134" t="s">
        <v>133</v>
      </c>
      <c r="Z82" s="134"/>
      <c r="AI82" s="47" t="s">
        <v>84</v>
      </c>
    </row>
    <row r="83" spans="1:35" ht="18" customHeight="1" thickBot="1" x14ac:dyDescent="0.2">
      <c r="A83" s="556" t="s">
        <v>33</v>
      </c>
      <c r="B83" s="559" t="s">
        <v>24</v>
      </c>
      <c r="C83" s="560"/>
      <c r="D83" s="560"/>
      <c r="E83" s="561"/>
      <c r="F83" s="562" t="s">
        <v>34</v>
      </c>
      <c r="G83" s="563"/>
      <c r="H83" s="563"/>
      <c r="I83" s="563"/>
      <c r="J83" s="564"/>
      <c r="K83" s="565" t="s">
        <v>35</v>
      </c>
      <c r="L83" s="2"/>
      <c r="M83" s="723" t="s">
        <v>33</v>
      </c>
      <c r="N83" s="726" t="s">
        <v>24</v>
      </c>
      <c r="O83" s="727"/>
      <c r="P83" s="727"/>
      <c r="Q83" s="728"/>
      <c r="R83" s="729" t="s">
        <v>34</v>
      </c>
      <c r="S83" s="730"/>
      <c r="T83" s="730"/>
      <c r="U83" s="730"/>
      <c r="V83" s="731"/>
      <c r="W83" s="732" t="s">
        <v>35</v>
      </c>
      <c r="X83" s="2"/>
      <c r="Y83" s="567" t="s">
        <v>33</v>
      </c>
      <c r="Z83" s="570" t="s">
        <v>24</v>
      </c>
      <c r="AA83" s="571"/>
      <c r="AB83" s="571"/>
      <c r="AC83" s="572"/>
      <c r="AD83" s="573" t="s">
        <v>34</v>
      </c>
      <c r="AE83" s="574"/>
      <c r="AF83" s="574"/>
      <c r="AG83" s="574"/>
      <c r="AH83" s="575"/>
      <c r="AI83" s="544" t="s">
        <v>35</v>
      </c>
    </row>
    <row r="84" spans="1:35" ht="13.5" customHeight="1" x14ac:dyDescent="0.15">
      <c r="A84" s="557"/>
      <c r="B84" s="576" t="s">
        <v>28</v>
      </c>
      <c r="C84" s="565" t="s">
        <v>29</v>
      </c>
      <c r="D84" s="576" t="s">
        <v>25</v>
      </c>
      <c r="E84" s="577" t="s">
        <v>31</v>
      </c>
      <c r="F84" s="578" t="s">
        <v>36</v>
      </c>
      <c r="G84" s="579"/>
      <c r="H84" s="119"/>
      <c r="I84" s="565" t="s">
        <v>37</v>
      </c>
      <c r="J84" s="576" t="s">
        <v>38</v>
      </c>
      <c r="K84" s="566"/>
      <c r="L84" s="2"/>
      <c r="M84" s="724"/>
      <c r="N84" s="718" t="s">
        <v>28</v>
      </c>
      <c r="O84" s="732" t="s">
        <v>29</v>
      </c>
      <c r="P84" s="718" t="s">
        <v>25</v>
      </c>
      <c r="Q84" s="738" t="s">
        <v>31</v>
      </c>
      <c r="R84" s="734" t="s">
        <v>36</v>
      </c>
      <c r="S84" s="735"/>
      <c r="T84" s="260"/>
      <c r="U84" s="732" t="s">
        <v>37</v>
      </c>
      <c r="V84" s="718" t="s">
        <v>38</v>
      </c>
      <c r="W84" s="733"/>
      <c r="X84" s="2"/>
      <c r="Y84" s="568"/>
      <c r="Z84" s="546" t="s">
        <v>28</v>
      </c>
      <c r="AA84" s="544" t="s">
        <v>29</v>
      </c>
      <c r="AB84" s="546" t="s">
        <v>25</v>
      </c>
      <c r="AC84" s="582" t="s">
        <v>31</v>
      </c>
      <c r="AD84" s="540" t="s">
        <v>36</v>
      </c>
      <c r="AE84" s="541"/>
      <c r="AF84" s="135"/>
      <c r="AG84" s="544" t="s">
        <v>37</v>
      </c>
      <c r="AH84" s="546" t="s">
        <v>38</v>
      </c>
      <c r="AI84" s="545"/>
    </row>
    <row r="85" spans="1:35" x14ac:dyDescent="0.15">
      <c r="A85" s="557"/>
      <c r="B85" s="576"/>
      <c r="C85" s="566"/>
      <c r="D85" s="576"/>
      <c r="E85" s="576"/>
      <c r="F85" s="580"/>
      <c r="G85" s="581"/>
      <c r="H85" s="120"/>
      <c r="I85" s="566"/>
      <c r="J85" s="576"/>
      <c r="K85" s="566"/>
      <c r="L85" s="2"/>
      <c r="M85" s="724"/>
      <c r="N85" s="718"/>
      <c r="O85" s="733"/>
      <c r="P85" s="718"/>
      <c r="Q85" s="718"/>
      <c r="R85" s="736"/>
      <c r="S85" s="737"/>
      <c r="T85" s="261"/>
      <c r="U85" s="733"/>
      <c r="V85" s="718"/>
      <c r="W85" s="733"/>
      <c r="X85" s="2"/>
      <c r="Y85" s="568"/>
      <c r="Z85" s="546"/>
      <c r="AA85" s="545"/>
      <c r="AB85" s="546"/>
      <c r="AC85" s="546"/>
      <c r="AD85" s="542"/>
      <c r="AE85" s="543"/>
      <c r="AF85" s="136"/>
      <c r="AG85" s="545"/>
      <c r="AH85" s="546"/>
      <c r="AI85" s="545"/>
    </row>
    <row r="86" spans="1:35" ht="23.25" customHeight="1" x14ac:dyDescent="0.15">
      <c r="A86" s="557"/>
      <c r="B86" s="74" t="s">
        <v>13</v>
      </c>
      <c r="C86" s="75" t="s">
        <v>30</v>
      </c>
      <c r="D86" s="74" t="s">
        <v>14</v>
      </c>
      <c r="E86" s="74" t="s">
        <v>40</v>
      </c>
      <c r="F86" s="547" t="s">
        <v>15</v>
      </c>
      <c r="G86" s="548"/>
      <c r="H86" s="121"/>
      <c r="I86" s="75" t="s">
        <v>30</v>
      </c>
      <c r="J86" s="74" t="s">
        <v>40</v>
      </c>
      <c r="K86" s="74" t="s">
        <v>40</v>
      </c>
      <c r="L86" s="2"/>
      <c r="M86" s="724"/>
      <c r="N86" s="262" t="s">
        <v>152</v>
      </c>
      <c r="O86" s="263" t="s">
        <v>30</v>
      </c>
      <c r="P86" s="262" t="s">
        <v>14</v>
      </c>
      <c r="Q86" s="262" t="s">
        <v>40</v>
      </c>
      <c r="R86" s="719" t="s">
        <v>15</v>
      </c>
      <c r="S86" s="720"/>
      <c r="T86" s="264"/>
      <c r="U86" s="263" t="s">
        <v>30</v>
      </c>
      <c r="V86" s="262" t="s">
        <v>40</v>
      </c>
      <c r="W86" s="262" t="s">
        <v>40</v>
      </c>
      <c r="X86" s="2"/>
      <c r="Y86" s="568"/>
      <c r="Z86" s="137" t="s">
        <v>152</v>
      </c>
      <c r="AA86" s="138" t="s">
        <v>30</v>
      </c>
      <c r="AB86" s="137" t="s">
        <v>14</v>
      </c>
      <c r="AC86" s="137" t="s">
        <v>40</v>
      </c>
      <c r="AD86" s="549" t="s">
        <v>15</v>
      </c>
      <c r="AE86" s="550"/>
      <c r="AF86" s="139"/>
      <c r="AG86" s="138" t="s">
        <v>30</v>
      </c>
      <c r="AH86" s="137" t="s">
        <v>40</v>
      </c>
      <c r="AI86" s="137" t="s">
        <v>40</v>
      </c>
    </row>
    <row r="87" spans="1:35" ht="15.75" customHeight="1" thickBot="1" x14ac:dyDescent="0.2">
      <c r="A87" s="558"/>
      <c r="B87" s="76" t="s">
        <v>16</v>
      </c>
      <c r="C87" s="76" t="s">
        <v>17</v>
      </c>
      <c r="D87" s="76" t="s">
        <v>18</v>
      </c>
      <c r="E87" s="76" t="s">
        <v>19</v>
      </c>
      <c r="F87" s="77"/>
      <c r="G87" s="78" t="s">
        <v>20</v>
      </c>
      <c r="H87" s="78"/>
      <c r="I87" s="76" t="s">
        <v>21</v>
      </c>
      <c r="J87" s="76" t="s">
        <v>22</v>
      </c>
      <c r="K87" s="78" t="s">
        <v>23</v>
      </c>
      <c r="L87" s="2"/>
      <c r="M87" s="725"/>
      <c r="N87" s="265" t="s">
        <v>16</v>
      </c>
      <c r="O87" s="265" t="s">
        <v>17</v>
      </c>
      <c r="P87" s="265" t="s">
        <v>18</v>
      </c>
      <c r="Q87" s="265" t="s">
        <v>19</v>
      </c>
      <c r="R87" s="266"/>
      <c r="S87" s="267" t="s">
        <v>20</v>
      </c>
      <c r="T87" s="267"/>
      <c r="U87" s="265" t="s">
        <v>21</v>
      </c>
      <c r="V87" s="265" t="s">
        <v>22</v>
      </c>
      <c r="W87" s="267" t="s">
        <v>23</v>
      </c>
      <c r="X87" s="2"/>
      <c r="Y87" s="569"/>
      <c r="Z87" s="122" t="s">
        <v>16</v>
      </c>
      <c r="AA87" s="122" t="s">
        <v>17</v>
      </c>
      <c r="AB87" s="122" t="s">
        <v>18</v>
      </c>
      <c r="AC87" s="122" t="s">
        <v>19</v>
      </c>
      <c r="AD87" s="140"/>
      <c r="AE87" s="141" t="s">
        <v>20</v>
      </c>
      <c r="AF87" s="141"/>
      <c r="AG87" s="122" t="s">
        <v>21</v>
      </c>
      <c r="AH87" s="122" t="s">
        <v>22</v>
      </c>
      <c r="AI87" s="141" t="s">
        <v>23</v>
      </c>
    </row>
    <row r="88" spans="1:35" ht="30" customHeight="1" x14ac:dyDescent="0.15">
      <c r="A88" s="107" t="s">
        <v>83</v>
      </c>
      <c r="B88" s="112">
        <v>51</v>
      </c>
      <c r="C88" s="113">
        <v>2008.8</v>
      </c>
      <c r="D88" s="117">
        <v>100</v>
      </c>
      <c r="E88" s="79">
        <f t="shared" ref="E88:E99" si="54">ROUNDDOWN(B88*C88*((185-D88)/100),2)</f>
        <v>87081.48</v>
      </c>
      <c r="F88" s="97" t="s">
        <v>85</v>
      </c>
      <c r="G88" s="81">
        <v>3823</v>
      </c>
      <c r="H88" s="81"/>
      <c r="I88" s="116">
        <v>11.87</v>
      </c>
      <c r="J88" s="79">
        <f t="shared" ref="J88:J99" si="55">ROUNDDOWN(G88*I88,2)</f>
        <v>45379.01</v>
      </c>
      <c r="K88" s="82">
        <f t="shared" ref="K88:K99" si="56">ROUNDDOWN(J88+E88,2)</f>
        <v>132460.49</v>
      </c>
      <c r="L88" s="2"/>
      <c r="M88" s="268" t="s">
        <v>83</v>
      </c>
      <c r="N88" s="269">
        <v>51</v>
      </c>
      <c r="O88" s="270">
        <v>1296</v>
      </c>
      <c r="P88" s="269">
        <v>100</v>
      </c>
      <c r="Q88" s="271">
        <f t="shared" ref="Q88:Q99" si="57">ROUNDDOWN(N88*O88*((185-P88)/100),2)</f>
        <v>56181.599999999999</v>
      </c>
      <c r="R88" s="272" t="s">
        <v>85</v>
      </c>
      <c r="S88" s="273">
        <v>3823</v>
      </c>
      <c r="T88" s="273"/>
      <c r="U88" s="270">
        <v>16.87</v>
      </c>
      <c r="V88" s="271">
        <f t="shared" ref="V88:V99" si="58">ROUNDDOWN(S88*U88,2)</f>
        <v>64494.01</v>
      </c>
      <c r="W88" s="274">
        <f t="shared" ref="W88:W99" si="59">ROUNDDOWN(V88+Q88,2)</f>
        <v>120675.61</v>
      </c>
      <c r="X88" s="2"/>
      <c r="Y88" s="142" t="s">
        <v>83</v>
      </c>
      <c r="Z88" s="143">
        <v>51</v>
      </c>
      <c r="AA88" s="123">
        <v>1296</v>
      </c>
      <c r="AB88" s="163">
        <v>100</v>
      </c>
      <c r="AC88" s="98">
        <f t="shared" ref="AC88:AC99" si="60">ROUNDDOWN(Z88*AA88*((185-AB88)/100),2)</f>
        <v>56181.599999999999</v>
      </c>
      <c r="AD88" s="166" t="s">
        <v>85</v>
      </c>
      <c r="AE88" s="146">
        <v>3823</v>
      </c>
      <c r="AF88" s="146"/>
      <c r="AG88" s="124">
        <v>16.87</v>
      </c>
      <c r="AH88" s="98">
        <f t="shared" ref="AH88:AH99" si="61">ROUNDDOWN(AE88*AG88,2)</f>
        <v>64494.01</v>
      </c>
      <c r="AI88" s="147">
        <f t="shared" ref="AI88:AI99" si="62">ROUNDDOWN(AH88+AC88,2)</f>
        <v>120675.61</v>
      </c>
    </row>
    <row r="89" spans="1:35" ht="30" customHeight="1" x14ac:dyDescent="0.15">
      <c r="A89" s="105" t="s">
        <v>72</v>
      </c>
      <c r="B89" s="108">
        <f t="shared" ref="B89:B99" si="63">B88</f>
        <v>51</v>
      </c>
      <c r="C89" s="109">
        <f t="shared" ref="C89:C99" si="64">C88</f>
        <v>2008.8</v>
      </c>
      <c r="D89" s="114">
        <f t="shared" ref="D89:D99" si="65">D88</f>
        <v>100</v>
      </c>
      <c r="E89" s="79">
        <f t="shared" si="54"/>
        <v>87081.48</v>
      </c>
      <c r="F89" s="80" t="s">
        <v>112</v>
      </c>
      <c r="G89" s="81">
        <v>3991</v>
      </c>
      <c r="H89" s="81"/>
      <c r="I89" s="109">
        <f>I88</f>
        <v>11.87</v>
      </c>
      <c r="J89" s="79">
        <f t="shared" si="55"/>
        <v>47373.17</v>
      </c>
      <c r="K89" s="82">
        <f t="shared" si="56"/>
        <v>134454.65</v>
      </c>
      <c r="L89" s="2"/>
      <c r="M89" s="275" t="s">
        <v>72</v>
      </c>
      <c r="N89" s="276">
        <f t="shared" ref="N89:N99" si="66">N88</f>
        <v>51</v>
      </c>
      <c r="O89" s="277">
        <f t="shared" ref="O89:O99" si="67">O88</f>
        <v>1296</v>
      </c>
      <c r="P89" s="278">
        <f t="shared" ref="P89:P99" si="68">P88</f>
        <v>100</v>
      </c>
      <c r="Q89" s="271">
        <f t="shared" si="57"/>
        <v>56181.599999999999</v>
      </c>
      <c r="R89" s="279" t="s">
        <v>112</v>
      </c>
      <c r="S89" s="273">
        <v>3991</v>
      </c>
      <c r="T89" s="273"/>
      <c r="U89" s="277">
        <f>U88</f>
        <v>16.87</v>
      </c>
      <c r="V89" s="271">
        <f t="shared" si="58"/>
        <v>67328.17</v>
      </c>
      <c r="W89" s="274">
        <f t="shared" si="59"/>
        <v>123509.77</v>
      </c>
      <c r="X89" s="2"/>
      <c r="Y89" s="148" t="s">
        <v>72</v>
      </c>
      <c r="Z89" s="149">
        <f t="shared" ref="Z89:Z99" si="69">Z88</f>
        <v>51</v>
      </c>
      <c r="AA89" s="125">
        <f t="shared" ref="AA89:AA99" si="70">AA88</f>
        <v>1296</v>
      </c>
      <c r="AB89" s="106">
        <f t="shared" ref="AB89:AB99" si="71">AB88</f>
        <v>100</v>
      </c>
      <c r="AC89" s="98">
        <f t="shared" si="60"/>
        <v>56181.599999999999</v>
      </c>
      <c r="AD89" s="145" t="s">
        <v>112</v>
      </c>
      <c r="AE89" s="146">
        <v>3991</v>
      </c>
      <c r="AF89" s="146"/>
      <c r="AG89" s="125">
        <f>AG88</f>
        <v>16.87</v>
      </c>
      <c r="AH89" s="98">
        <f t="shared" si="61"/>
        <v>67328.17</v>
      </c>
      <c r="AI89" s="147">
        <f t="shared" si="62"/>
        <v>123509.77</v>
      </c>
    </row>
    <row r="90" spans="1:35" ht="30" customHeight="1" x14ac:dyDescent="0.15">
      <c r="A90" s="105" t="s">
        <v>73</v>
      </c>
      <c r="B90" s="108">
        <f t="shared" si="63"/>
        <v>51</v>
      </c>
      <c r="C90" s="109">
        <f t="shared" si="64"/>
        <v>2008.8</v>
      </c>
      <c r="D90" s="114">
        <f t="shared" si="65"/>
        <v>100</v>
      </c>
      <c r="E90" s="79">
        <f t="shared" si="54"/>
        <v>87081.48</v>
      </c>
      <c r="F90" s="80" t="s">
        <v>9</v>
      </c>
      <c r="G90" s="81">
        <v>3702</v>
      </c>
      <c r="H90" s="81"/>
      <c r="I90" s="109">
        <f>I89</f>
        <v>11.87</v>
      </c>
      <c r="J90" s="79">
        <f t="shared" si="55"/>
        <v>43942.74</v>
      </c>
      <c r="K90" s="82">
        <f t="shared" si="56"/>
        <v>131024.22</v>
      </c>
      <c r="L90" s="2"/>
      <c r="M90" s="275" t="s">
        <v>73</v>
      </c>
      <c r="N90" s="276">
        <f t="shared" si="66"/>
        <v>51</v>
      </c>
      <c r="O90" s="277">
        <f t="shared" si="67"/>
        <v>1296</v>
      </c>
      <c r="P90" s="278">
        <f t="shared" si="68"/>
        <v>100</v>
      </c>
      <c r="Q90" s="271">
        <f t="shared" si="57"/>
        <v>56181.599999999999</v>
      </c>
      <c r="R90" s="279" t="s">
        <v>9</v>
      </c>
      <c r="S90" s="273">
        <v>3702</v>
      </c>
      <c r="T90" s="273"/>
      <c r="U90" s="277">
        <f>U89</f>
        <v>16.87</v>
      </c>
      <c r="V90" s="271">
        <f t="shared" si="58"/>
        <v>62452.74</v>
      </c>
      <c r="W90" s="274">
        <f t="shared" si="59"/>
        <v>118634.34</v>
      </c>
      <c r="X90" s="2"/>
      <c r="Y90" s="148" t="s">
        <v>73</v>
      </c>
      <c r="Z90" s="149">
        <f t="shared" si="69"/>
        <v>51</v>
      </c>
      <c r="AA90" s="125">
        <f t="shared" si="70"/>
        <v>1296</v>
      </c>
      <c r="AB90" s="106">
        <f t="shared" si="71"/>
        <v>100</v>
      </c>
      <c r="AC90" s="98">
        <f t="shared" si="60"/>
        <v>56181.599999999999</v>
      </c>
      <c r="AD90" s="145" t="s">
        <v>9</v>
      </c>
      <c r="AE90" s="146">
        <v>3702</v>
      </c>
      <c r="AF90" s="146"/>
      <c r="AG90" s="125">
        <f>AG89</f>
        <v>16.87</v>
      </c>
      <c r="AH90" s="98">
        <f t="shared" si="61"/>
        <v>62452.74</v>
      </c>
      <c r="AI90" s="147">
        <f t="shared" si="62"/>
        <v>118634.34</v>
      </c>
    </row>
    <row r="91" spans="1:35" ht="30" customHeight="1" x14ac:dyDescent="0.15">
      <c r="A91" s="105" t="s">
        <v>74</v>
      </c>
      <c r="B91" s="108">
        <f t="shared" si="63"/>
        <v>51</v>
      </c>
      <c r="C91" s="109">
        <f t="shared" si="64"/>
        <v>2008.8</v>
      </c>
      <c r="D91" s="114">
        <f t="shared" si="65"/>
        <v>100</v>
      </c>
      <c r="E91" s="79">
        <f t="shared" si="54"/>
        <v>87081.48</v>
      </c>
      <c r="F91" s="80" t="s">
        <v>9</v>
      </c>
      <c r="G91" s="81">
        <v>2280</v>
      </c>
      <c r="H91" s="81"/>
      <c r="I91" s="109">
        <f>I90</f>
        <v>11.87</v>
      </c>
      <c r="J91" s="79">
        <f t="shared" si="55"/>
        <v>27063.599999999999</v>
      </c>
      <c r="K91" s="82">
        <f t="shared" si="56"/>
        <v>114145.08</v>
      </c>
      <c r="L91" s="2"/>
      <c r="M91" s="275" t="s">
        <v>74</v>
      </c>
      <c r="N91" s="276">
        <f t="shared" si="66"/>
        <v>51</v>
      </c>
      <c r="O91" s="277">
        <f t="shared" si="67"/>
        <v>1296</v>
      </c>
      <c r="P91" s="278">
        <f t="shared" si="68"/>
        <v>100</v>
      </c>
      <c r="Q91" s="271">
        <f t="shared" si="57"/>
        <v>56181.599999999999</v>
      </c>
      <c r="R91" s="279" t="s">
        <v>9</v>
      </c>
      <c r="S91" s="273">
        <v>2280</v>
      </c>
      <c r="T91" s="273"/>
      <c r="U91" s="277">
        <f>U90</f>
        <v>16.87</v>
      </c>
      <c r="V91" s="271">
        <f t="shared" si="58"/>
        <v>38463.599999999999</v>
      </c>
      <c r="W91" s="274">
        <f t="shared" si="59"/>
        <v>94645.2</v>
      </c>
      <c r="X91" s="2"/>
      <c r="Y91" s="148" t="s">
        <v>74</v>
      </c>
      <c r="Z91" s="149">
        <f t="shared" si="69"/>
        <v>51</v>
      </c>
      <c r="AA91" s="125">
        <f t="shared" si="70"/>
        <v>1296</v>
      </c>
      <c r="AB91" s="106">
        <f t="shared" si="71"/>
        <v>100</v>
      </c>
      <c r="AC91" s="98">
        <f t="shared" si="60"/>
        <v>56181.599999999999</v>
      </c>
      <c r="AD91" s="145" t="s">
        <v>9</v>
      </c>
      <c r="AE91" s="146">
        <v>2280</v>
      </c>
      <c r="AF91" s="146"/>
      <c r="AG91" s="125">
        <f>AG90</f>
        <v>16.87</v>
      </c>
      <c r="AH91" s="98">
        <f t="shared" si="61"/>
        <v>38463.599999999999</v>
      </c>
      <c r="AI91" s="147">
        <f t="shared" si="62"/>
        <v>94645.2</v>
      </c>
    </row>
    <row r="92" spans="1:35" ht="30" customHeight="1" x14ac:dyDescent="0.15">
      <c r="A92" s="105" t="s">
        <v>75</v>
      </c>
      <c r="B92" s="108">
        <f t="shared" si="63"/>
        <v>51</v>
      </c>
      <c r="C92" s="109">
        <f t="shared" si="64"/>
        <v>2008.8</v>
      </c>
      <c r="D92" s="114">
        <f t="shared" si="65"/>
        <v>100</v>
      </c>
      <c r="E92" s="79">
        <f t="shared" si="54"/>
        <v>87081.48</v>
      </c>
      <c r="F92" s="80" t="s">
        <v>9</v>
      </c>
      <c r="G92" s="81">
        <v>2430</v>
      </c>
      <c r="H92" s="81"/>
      <c r="I92" s="109">
        <f>I91</f>
        <v>11.87</v>
      </c>
      <c r="J92" s="79">
        <f t="shared" si="55"/>
        <v>28844.1</v>
      </c>
      <c r="K92" s="82">
        <f t="shared" si="56"/>
        <v>115925.58</v>
      </c>
      <c r="L92" s="2"/>
      <c r="M92" s="275" t="s">
        <v>75</v>
      </c>
      <c r="N92" s="276">
        <f t="shared" si="66"/>
        <v>51</v>
      </c>
      <c r="O92" s="277">
        <f t="shared" si="67"/>
        <v>1296</v>
      </c>
      <c r="P92" s="278">
        <f t="shared" si="68"/>
        <v>100</v>
      </c>
      <c r="Q92" s="271">
        <f t="shared" si="57"/>
        <v>56181.599999999999</v>
      </c>
      <c r="R92" s="279" t="s">
        <v>9</v>
      </c>
      <c r="S92" s="273">
        <v>2430</v>
      </c>
      <c r="T92" s="273"/>
      <c r="U92" s="277">
        <f>U91</f>
        <v>16.87</v>
      </c>
      <c r="V92" s="271">
        <f t="shared" si="58"/>
        <v>40994.1</v>
      </c>
      <c r="W92" s="274">
        <f t="shared" si="59"/>
        <v>97175.7</v>
      </c>
      <c r="X92" s="2"/>
      <c r="Y92" s="148" t="s">
        <v>75</v>
      </c>
      <c r="Z92" s="149">
        <f t="shared" si="69"/>
        <v>51</v>
      </c>
      <c r="AA92" s="125">
        <f t="shared" si="70"/>
        <v>1296</v>
      </c>
      <c r="AB92" s="106">
        <f t="shared" si="71"/>
        <v>100</v>
      </c>
      <c r="AC92" s="98">
        <f t="shared" si="60"/>
        <v>56181.599999999999</v>
      </c>
      <c r="AD92" s="145" t="s">
        <v>9</v>
      </c>
      <c r="AE92" s="146">
        <v>2430</v>
      </c>
      <c r="AF92" s="146"/>
      <c r="AG92" s="125">
        <f>AG91</f>
        <v>16.87</v>
      </c>
      <c r="AH92" s="98">
        <f t="shared" si="61"/>
        <v>40994.1</v>
      </c>
      <c r="AI92" s="147">
        <f t="shared" si="62"/>
        <v>97175.7</v>
      </c>
    </row>
    <row r="93" spans="1:35" ht="30" customHeight="1" x14ac:dyDescent="0.15">
      <c r="A93" s="105" t="s">
        <v>76</v>
      </c>
      <c r="B93" s="108">
        <f t="shared" si="63"/>
        <v>51</v>
      </c>
      <c r="C93" s="109">
        <f t="shared" si="64"/>
        <v>2008.8</v>
      </c>
      <c r="D93" s="114">
        <f t="shared" si="65"/>
        <v>100</v>
      </c>
      <c r="E93" s="79">
        <f t="shared" si="54"/>
        <v>87081.48</v>
      </c>
      <c r="F93" s="80" t="s">
        <v>9</v>
      </c>
      <c r="G93" s="81">
        <v>3450</v>
      </c>
      <c r="H93" s="81"/>
      <c r="I93" s="109">
        <f>I92</f>
        <v>11.87</v>
      </c>
      <c r="J93" s="79">
        <f t="shared" si="55"/>
        <v>40951.5</v>
      </c>
      <c r="K93" s="82">
        <f t="shared" si="56"/>
        <v>128032.98</v>
      </c>
      <c r="L93" s="2"/>
      <c r="M93" s="275" t="s">
        <v>76</v>
      </c>
      <c r="N93" s="276">
        <f t="shared" si="66"/>
        <v>51</v>
      </c>
      <c r="O93" s="277">
        <f t="shared" si="67"/>
        <v>1296</v>
      </c>
      <c r="P93" s="278">
        <f t="shared" si="68"/>
        <v>100</v>
      </c>
      <c r="Q93" s="271">
        <f t="shared" si="57"/>
        <v>56181.599999999999</v>
      </c>
      <c r="R93" s="279" t="s">
        <v>9</v>
      </c>
      <c r="S93" s="273">
        <v>3450</v>
      </c>
      <c r="T93" s="273"/>
      <c r="U93" s="277">
        <f>U92</f>
        <v>16.87</v>
      </c>
      <c r="V93" s="271">
        <f t="shared" si="58"/>
        <v>58201.5</v>
      </c>
      <c r="W93" s="274">
        <f t="shared" si="59"/>
        <v>114383.1</v>
      </c>
      <c r="X93" s="2"/>
      <c r="Y93" s="148" t="s">
        <v>76</v>
      </c>
      <c r="Z93" s="149">
        <f t="shared" si="69"/>
        <v>51</v>
      </c>
      <c r="AA93" s="125">
        <f t="shared" si="70"/>
        <v>1296</v>
      </c>
      <c r="AB93" s="106">
        <f t="shared" si="71"/>
        <v>100</v>
      </c>
      <c r="AC93" s="98">
        <f t="shared" si="60"/>
        <v>56181.599999999999</v>
      </c>
      <c r="AD93" s="145" t="s">
        <v>9</v>
      </c>
      <c r="AE93" s="146">
        <v>3450</v>
      </c>
      <c r="AF93" s="146"/>
      <c r="AG93" s="125">
        <f>AG92</f>
        <v>16.87</v>
      </c>
      <c r="AH93" s="98">
        <f t="shared" si="61"/>
        <v>58201.5</v>
      </c>
      <c r="AI93" s="147">
        <f t="shared" si="62"/>
        <v>114383.1</v>
      </c>
    </row>
    <row r="94" spans="1:35" ht="30" customHeight="1" x14ac:dyDescent="0.15">
      <c r="A94" s="105" t="s">
        <v>77</v>
      </c>
      <c r="B94" s="108">
        <f t="shared" si="63"/>
        <v>51</v>
      </c>
      <c r="C94" s="109">
        <f t="shared" si="64"/>
        <v>2008.8</v>
      </c>
      <c r="D94" s="114">
        <f t="shared" si="65"/>
        <v>100</v>
      </c>
      <c r="E94" s="79">
        <f t="shared" si="54"/>
        <v>87081.48</v>
      </c>
      <c r="F94" s="80" t="s">
        <v>71</v>
      </c>
      <c r="G94" s="81">
        <v>4422</v>
      </c>
      <c r="H94" s="81"/>
      <c r="I94" s="116">
        <v>12.78</v>
      </c>
      <c r="J94" s="79">
        <f t="shared" si="55"/>
        <v>56513.16</v>
      </c>
      <c r="K94" s="82">
        <f t="shared" si="56"/>
        <v>143594.64000000001</v>
      </c>
      <c r="L94" s="2"/>
      <c r="M94" s="275" t="s">
        <v>77</v>
      </c>
      <c r="N94" s="276">
        <f t="shared" si="66"/>
        <v>51</v>
      </c>
      <c r="O94" s="277">
        <f t="shared" si="67"/>
        <v>1296</v>
      </c>
      <c r="P94" s="278">
        <f t="shared" si="68"/>
        <v>100</v>
      </c>
      <c r="Q94" s="271">
        <f t="shared" si="57"/>
        <v>56181.599999999999</v>
      </c>
      <c r="R94" s="279" t="s">
        <v>71</v>
      </c>
      <c r="S94" s="273">
        <v>4422</v>
      </c>
      <c r="T94" s="273"/>
      <c r="U94" s="270">
        <v>18.29</v>
      </c>
      <c r="V94" s="271">
        <f t="shared" si="58"/>
        <v>80878.38</v>
      </c>
      <c r="W94" s="274">
        <f t="shared" si="59"/>
        <v>137059.98000000001</v>
      </c>
      <c r="X94" s="2"/>
      <c r="Y94" s="148" t="s">
        <v>77</v>
      </c>
      <c r="Z94" s="149">
        <f t="shared" si="69"/>
        <v>51</v>
      </c>
      <c r="AA94" s="125">
        <f t="shared" si="70"/>
        <v>1296</v>
      </c>
      <c r="AB94" s="106">
        <f t="shared" si="71"/>
        <v>100</v>
      </c>
      <c r="AC94" s="98">
        <f t="shared" si="60"/>
        <v>56181.599999999999</v>
      </c>
      <c r="AD94" s="145" t="s">
        <v>71</v>
      </c>
      <c r="AE94" s="146">
        <v>4422</v>
      </c>
      <c r="AF94" s="146"/>
      <c r="AG94" s="124">
        <v>18.29</v>
      </c>
      <c r="AH94" s="98">
        <f t="shared" si="61"/>
        <v>80878.38</v>
      </c>
      <c r="AI94" s="147">
        <f t="shared" si="62"/>
        <v>137059.98000000001</v>
      </c>
    </row>
    <row r="95" spans="1:35" ht="30" customHeight="1" x14ac:dyDescent="0.15">
      <c r="A95" s="105" t="s">
        <v>78</v>
      </c>
      <c r="B95" s="108">
        <f t="shared" si="63"/>
        <v>51</v>
      </c>
      <c r="C95" s="109">
        <f t="shared" si="64"/>
        <v>2008.8</v>
      </c>
      <c r="D95" s="114">
        <f t="shared" si="65"/>
        <v>100</v>
      </c>
      <c r="E95" s="79">
        <f t="shared" si="54"/>
        <v>87081.48</v>
      </c>
      <c r="F95" s="80" t="s">
        <v>71</v>
      </c>
      <c r="G95" s="81">
        <v>4368</v>
      </c>
      <c r="H95" s="81"/>
      <c r="I95" s="109">
        <f>I94</f>
        <v>12.78</v>
      </c>
      <c r="J95" s="79">
        <f t="shared" si="55"/>
        <v>55823.040000000001</v>
      </c>
      <c r="K95" s="82">
        <f t="shared" si="56"/>
        <v>142904.51999999999</v>
      </c>
      <c r="L95" s="2"/>
      <c r="M95" s="275" t="s">
        <v>78</v>
      </c>
      <c r="N95" s="276">
        <f t="shared" si="66"/>
        <v>51</v>
      </c>
      <c r="O95" s="277">
        <f t="shared" si="67"/>
        <v>1296</v>
      </c>
      <c r="P95" s="278">
        <f t="shared" si="68"/>
        <v>100</v>
      </c>
      <c r="Q95" s="271">
        <f t="shared" si="57"/>
        <v>56181.599999999999</v>
      </c>
      <c r="R95" s="279" t="s">
        <v>71</v>
      </c>
      <c r="S95" s="273">
        <v>4368</v>
      </c>
      <c r="T95" s="273"/>
      <c r="U95" s="277">
        <f>U94</f>
        <v>18.29</v>
      </c>
      <c r="V95" s="271">
        <f t="shared" si="58"/>
        <v>79890.720000000001</v>
      </c>
      <c r="W95" s="274">
        <f t="shared" si="59"/>
        <v>136072.32000000001</v>
      </c>
      <c r="X95" s="2"/>
      <c r="Y95" s="148" t="s">
        <v>78</v>
      </c>
      <c r="Z95" s="149">
        <f t="shared" si="69"/>
        <v>51</v>
      </c>
      <c r="AA95" s="125">
        <f t="shared" si="70"/>
        <v>1296</v>
      </c>
      <c r="AB95" s="106">
        <f t="shared" si="71"/>
        <v>100</v>
      </c>
      <c r="AC95" s="98">
        <f t="shared" si="60"/>
        <v>56181.599999999999</v>
      </c>
      <c r="AD95" s="145" t="s">
        <v>71</v>
      </c>
      <c r="AE95" s="146">
        <v>4368</v>
      </c>
      <c r="AF95" s="146"/>
      <c r="AG95" s="125">
        <f>AG94</f>
        <v>18.29</v>
      </c>
      <c r="AH95" s="98">
        <f t="shared" si="61"/>
        <v>79890.720000000001</v>
      </c>
      <c r="AI95" s="147">
        <f t="shared" si="62"/>
        <v>136072.32000000001</v>
      </c>
    </row>
    <row r="96" spans="1:35" ht="30" customHeight="1" x14ac:dyDescent="0.15">
      <c r="A96" s="105" t="s">
        <v>79</v>
      </c>
      <c r="B96" s="108">
        <f t="shared" si="63"/>
        <v>51</v>
      </c>
      <c r="C96" s="109">
        <f t="shared" si="64"/>
        <v>2008.8</v>
      </c>
      <c r="D96" s="114">
        <f t="shared" si="65"/>
        <v>100</v>
      </c>
      <c r="E96" s="79">
        <f t="shared" si="54"/>
        <v>87081.48</v>
      </c>
      <c r="F96" s="80" t="s">
        <v>71</v>
      </c>
      <c r="G96" s="81">
        <f>2486+622</f>
        <v>3108</v>
      </c>
      <c r="H96" s="81"/>
      <c r="I96" s="109">
        <f>I95</f>
        <v>12.78</v>
      </c>
      <c r="J96" s="79">
        <f t="shared" si="55"/>
        <v>39720.239999999998</v>
      </c>
      <c r="K96" s="82">
        <f t="shared" si="56"/>
        <v>126801.72</v>
      </c>
      <c r="L96" s="2"/>
      <c r="M96" s="275" t="s">
        <v>79</v>
      </c>
      <c r="N96" s="276">
        <f t="shared" si="66"/>
        <v>51</v>
      </c>
      <c r="O96" s="277">
        <f t="shared" si="67"/>
        <v>1296</v>
      </c>
      <c r="P96" s="278">
        <f t="shared" si="68"/>
        <v>100</v>
      </c>
      <c r="Q96" s="271">
        <f t="shared" si="57"/>
        <v>56181.599999999999</v>
      </c>
      <c r="R96" s="279" t="s">
        <v>71</v>
      </c>
      <c r="S96" s="273">
        <f>2486+622</f>
        <v>3108</v>
      </c>
      <c r="T96" s="273"/>
      <c r="U96" s="277">
        <f>U95</f>
        <v>18.29</v>
      </c>
      <c r="V96" s="271">
        <f t="shared" si="58"/>
        <v>56845.32</v>
      </c>
      <c r="W96" s="274">
        <f t="shared" si="59"/>
        <v>113026.92</v>
      </c>
      <c r="X96" s="2"/>
      <c r="Y96" s="148" t="s">
        <v>79</v>
      </c>
      <c r="Z96" s="149">
        <f t="shared" si="69"/>
        <v>51</v>
      </c>
      <c r="AA96" s="125">
        <f t="shared" si="70"/>
        <v>1296</v>
      </c>
      <c r="AB96" s="106">
        <f t="shared" si="71"/>
        <v>100</v>
      </c>
      <c r="AC96" s="98">
        <f t="shared" si="60"/>
        <v>56181.599999999999</v>
      </c>
      <c r="AD96" s="145" t="s">
        <v>71</v>
      </c>
      <c r="AE96" s="146">
        <f>2486+622</f>
        <v>3108</v>
      </c>
      <c r="AF96" s="146"/>
      <c r="AG96" s="125">
        <f>AG95</f>
        <v>18.29</v>
      </c>
      <c r="AH96" s="98">
        <f t="shared" si="61"/>
        <v>56845.32</v>
      </c>
      <c r="AI96" s="147">
        <f t="shared" si="62"/>
        <v>113026.92</v>
      </c>
    </row>
    <row r="97" spans="1:35" ht="30" customHeight="1" x14ac:dyDescent="0.15">
      <c r="A97" s="105" t="s">
        <v>80</v>
      </c>
      <c r="B97" s="108">
        <f t="shared" si="63"/>
        <v>51</v>
      </c>
      <c r="C97" s="109">
        <f t="shared" si="64"/>
        <v>2008.8</v>
      </c>
      <c r="D97" s="114">
        <f t="shared" si="65"/>
        <v>100</v>
      </c>
      <c r="E97" s="79">
        <f t="shared" si="54"/>
        <v>87081.48</v>
      </c>
      <c r="F97" s="80" t="s">
        <v>9</v>
      </c>
      <c r="G97" s="81">
        <v>2850</v>
      </c>
      <c r="H97" s="81"/>
      <c r="I97" s="109">
        <f>I88</f>
        <v>11.87</v>
      </c>
      <c r="J97" s="79">
        <f t="shared" si="55"/>
        <v>33829.5</v>
      </c>
      <c r="K97" s="82">
        <f t="shared" si="56"/>
        <v>120910.98</v>
      </c>
      <c r="L97" s="2"/>
      <c r="M97" s="275" t="s">
        <v>80</v>
      </c>
      <c r="N97" s="276">
        <f t="shared" si="66"/>
        <v>51</v>
      </c>
      <c r="O97" s="277">
        <f t="shared" si="67"/>
        <v>1296</v>
      </c>
      <c r="P97" s="278">
        <f t="shared" si="68"/>
        <v>100</v>
      </c>
      <c r="Q97" s="271">
        <f t="shared" si="57"/>
        <v>56181.599999999999</v>
      </c>
      <c r="R97" s="279" t="s">
        <v>9</v>
      </c>
      <c r="S97" s="273">
        <v>2850</v>
      </c>
      <c r="T97" s="273"/>
      <c r="U97" s="277">
        <f>U88</f>
        <v>16.87</v>
      </c>
      <c r="V97" s="271">
        <f t="shared" si="58"/>
        <v>48079.5</v>
      </c>
      <c r="W97" s="274">
        <f t="shared" si="59"/>
        <v>104261.1</v>
      </c>
      <c r="X97" s="2"/>
      <c r="Y97" s="148" t="s">
        <v>80</v>
      </c>
      <c r="Z97" s="149">
        <f t="shared" si="69"/>
        <v>51</v>
      </c>
      <c r="AA97" s="125">
        <f t="shared" si="70"/>
        <v>1296</v>
      </c>
      <c r="AB97" s="106">
        <f t="shared" si="71"/>
        <v>100</v>
      </c>
      <c r="AC97" s="98">
        <f t="shared" si="60"/>
        <v>56181.599999999999</v>
      </c>
      <c r="AD97" s="145" t="s">
        <v>9</v>
      </c>
      <c r="AE97" s="146">
        <v>2850</v>
      </c>
      <c r="AF97" s="146"/>
      <c r="AG97" s="125">
        <f>AG88</f>
        <v>16.87</v>
      </c>
      <c r="AH97" s="98">
        <f t="shared" si="61"/>
        <v>48079.5</v>
      </c>
      <c r="AI97" s="147">
        <f t="shared" si="62"/>
        <v>104261.1</v>
      </c>
    </row>
    <row r="98" spans="1:35" ht="30" customHeight="1" x14ac:dyDescent="0.15">
      <c r="A98" s="105" t="s">
        <v>81</v>
      </c>
      <c r="B98" s="108">
        <f t="shared" si="63"/>
        <v>51</v>
      </c>
      <c r="C98" s="109">
        <f t="shared" si="64"/>
        <v>2008.8</v>
      </c>
      <c r="D98" s="114">
        <f t="shared" si="65"/>
        <v>100</v>
      </c>
      <c r="E98" s="79">
        <f t="shared" si="54"/>
        <v>87081.48</v>
      </c>
      <c r="F98" s="80" t="s">
        <v>9</v>
      </c>
      <c r="G98" s="81">
        <v>3240</v>
      </c>
      <c r="H98" s="81"/>
      <c r="I98" s="118">
        <f>I97</f>
        <v>11.87</v>
      </c>
      <c r="J98" s="79">
        <f t="shared" si="55"/>
        <v>38458.800000000003</v>
      </c>
      <c r="K98" s="82">
        <f t="shared" si="56"/>
        <v>125540.28</v>
      </c>
      <c r="L98" s="2"/>
      <c r="M98" s="275" t="s">
        <v>81</v>
      </c>
      <c r="N98" s="276">
        <f t="shared" si="66"/>
        <v>51</v>
      </c>
      <c r="O98" s="277">
        <f t="shared" si="67"/>
        <v>1296</v>
      </c>
      <c r="P98" s="278">
        <f t="shared" si="68"/>
        <v>100</v>
      </c>
      <c r="Q98" s="271">
        <f t="shared" si="57"/>
        <v>56181.599999999999</v>
      </c>
      <c r="R98" s="279" t="s">
        <v>9</v>
      </c>
      <c r="S98" s="273">
        <v>3240</v>
      </c>
      <c r="T98" s="273"/>
      <c r="U98" s="280">
        <f>U97</f>
        <v>16.87</v>
      </c>
      <c r="V98" s="271">
        <f t="shared" si="58"/>
        <v>54658.8</v>
      </c>
      <c r="W98" s="274">
        <f t="shared" si="59"/>
        <v>110840.4</v>
      </c>
      <c r="X98" s="2"/>
      <c r="Y98" s="148" t="s">
        <v>81</v>
      </c>
      <c r="Z98" s="149">
        <f t="shared" si="69"/>
        <v>51</v>
      </c>
      <c r="AA98" s="125">
        <f t="shared" si="70"/>
        <v>1296</v>
      </c>
      <c r="AB98" s="106">
        <f t="shared" si="71"/>
        <v>100</v>
      </c>
      <c r="AC98" s="98">
        <f t="shared" si="60"/>
        <v>56181.599999999999</v>
      </c>
      <c r="AD98" s="145" t="s">
        <v>9</v>
      </c>
      <c r="AE98" s="146">
        <v>3240</v>
      </c>
      <c r="AF98" s="146"/>
      <c r="AG98" s="127">
        <f>AG97</f>
        <v>16.87</v>
      </c>
      <c r="AH98" s="98">
        <f t="shared" si="61"/>
        <v>54658.8</v>
      </c>
      <c r="AI98" s="147">
        <f t="shared" si="62"/>
        <v>110840.4</v>
      </c>
    </row>
    <row r="99" spans="1:35" ht="30" customHeight="1" thickBot="1" x14ac:dyDescent="0.2">
      <c r="A99" s="84" t="s">
        <v>82</v>
      </c>
      <c r="B99" s="110">
        <f t="shared" si="63"/>
        <v>51</v>
      </c>
      <c r="C99" s="111">
        <f t="shared" si="64"/>
        <v>2008.8</v>
      </c>
      <c r="D99" s="115">
        <f t="shared" si="65"/>
        <v>100</v>
      </c>
      <c r="E99" s="85">
        <f t="shared" si="54"/>
        <v>87081.48</v>
      </c>
      <c r="F99" s="86" t="s">
        <v>9</v>
      </c>
      <c r="G99" s="87">
        <v>3180</v>
      </c>
      <c r="H99" s="87"/>
      <c r="I99" s="111">
        <f>I98</f>
        <v>11.87</v>
      </c>
      <c r="J99" s="85">
        <f t="shared" si="55"/>
        <v>37746.6</v>
      </c>
      <c r="K99" s="88">
        <f t="shared" si="56"/>
        <v>124828.08</v>
      </c>
      <c r="L99" s="2"/>
      <c r="M99" s="281" t="s">
        <v>82</v>
      </c>
      <c r="N99" s="282">
        <f t="shared" si="66"/>
        <v>51</v>
      </c>
      <c r="O99" s="283">
        <f t="shared" si="67"/>
        <v>1296</v>
      </c>
      <c r="P99" s="282">
        <f t="shared" si="68"/>
        <v>100</v>
      </c>
      <c r="Q99" s="284">
        <f t="shared" si="57"/>
        <v>56181.599999999999</v>
      </c>
      <c r="R99" s="285" t="s">
        <v>9</v>
      </c>
      <c r="S99" s="286">
        <v>3180</v>
      </c>
      <c r="T99" s="286"/>
      <c r="U99" s="283">
        <f>U98</f>
        <v>16.87</v>
      </c>
      <c r="V99" s="284">
        <f t="shared" si="58"/>
        <v>53646.6</v>
      </c>
      <c r="W99" s="287">
        <f t="shared" si="59"/>
        <v>109828.2</v>
      </c>
      <c r="X99" s="2"/>
      <c r="Y99" s="150" t="s">
        <v>82</v>
      </c>
      <c r="Z99" s="151">
        <f t="shared" si="69"/>
        <v>51</v>
      </c>
      <c r="AA99" s="126">
        <f t="shared" si="70"/>
        <v>1296</v>
      </c>
      <c r="AB99" s="152">
        <f t="shared" si="71"/>
        <v>100</v>
      </c>
      <c r="AC99" s="99">
        <f t="shared" si="60"/>
        <v>56181.599999999999</v>
      </c>
      <c r="AD99" s="153" t="s">
        <v>9</v>
      </c>
      <c r="AE99" s="154">
        <v>3180</v>
      </c>
      <c r="AF99" s="154"/>
      <c r="AG99" s="126">
        <f>AG98</f>
        <v>16.87</v>
      </c>
      <c r="AH99" s="99">
        <f t="shared" si="61"/>
        <v>53646.6</v>
      </c>
      <c r="AI99" s="155">
        <f t="shared" si="62"/>
        <v>109828.2</v>
      </c>
    </row>
    <row r="100" spans="1:35" ht="30" customHeight="1" thickBot="1" x14ac:dyDescent="0.2">
      <c r="A100" s="90" t="s">
        <v>41</v>
      </c>
      <c r="B100" s="91"/>
      <c r="C100" s="91"/>
      <c r="D100" s="91"/>
      <c r="E100" s="92">
        <f>SUM(E88:E99)</f>
        <v>1044977.7599999999</v>
      </c>
      <c r="F100" s="93"/>
      <c r="G100" s="94">
        <f>SUM(G88:G99)</f>
        <v>40844</v>
      </c>
      <c r="H100" s="94"/>
      <c r="I100" s="91"/>
      <c r="J100" s="92">
        <f>SUM(J88:J99)</f>
        <v>495645.45999999996</v>
      </c>
      <c r="K100" s="95">
        <f>SUM(K88:K99)</f>
        <v>1540623.2200000002</v>
      </c>
      <c r="L100" s="89" t="s">
        <v>113</v>
      </c>
      <c r="M100" s="288" t="s">
        <v>41</v>
      </c>
      <c r="N100" s="289"/>
      <c r="O100" s="289"/>
      <c r="P100" s="289"/>
      <c r="Q100" s="290">
        <f>SUM(Q88:Q99)</f>
        <v>674179.19999999984</v>
      </c>
      <c r="R100" s="291"/>
      <c r="S100" s="292">
        <f>SUM(S88:S99)</f>
        <v>40844</v>
      </c>
      <c r="T100" s="292"/>
      <c r="U100" s="289"/>
      <c r="V100" s="290">
        <f>SUM(V88:V99)</f>
        <v>705933.44</v>
      </c>
      <c r="W100" s="293">
        <f>SUM(W88:W99)</f>
        <v>1380112.64</v>
      </c>
      <c r="X100" s="89" t="s">
        <v>113</v>
      </c>
      <c r="Y100" s="164" t="s">
        <v>41</v>
      </c>
      <c r="Z100" s="157"/>
      <c r="AA100" s="157"/>
      <c r="AB100" s="157"/>
      <c r="AC100" s="158">
        <f>SUM(AC88:AC99)</f>
        <v>674179.19999999984</v>
      </c>
      <c r="AD100" s="159"/>
      <c r="AE100" s="160">
        <f>SUM(AE88:AE99)</f>
        <v>40844</v>
      </c>
      <c r="AF100" s="160"/>
      <c r="AG100" s="157"/>
      <c r="AH100" s="158">
        <f>SUM(AH88:AH99)</f>
        <v>705933.44</v>
      </c>
      <c r="AI100" s="161">
        <f>SUM(AI88:AI99)</f>
        <v>1380112.64</v>
      </c>
    </row>
    <row r="101" spans="1:35" ht="15" customHeight="1" x14ac:dyDescent="0.15">
      <c r="B101" s="4"/>
      <c r="C101" s="4"/>
      <c r="D101" s="4"/>
      <c r="E101" s="4"/>
      <c r="F101" s="4"/>
      <c r="G101" s="4"/>
      <c r="H101" s="4"/>
      <c r="I101" s="4"/>
      <c r="J101" s="4"/>
      <c r="K101" s="4"/>
      <c r="L101" s="89"/>
      <c r="M101" s="258"/>
      <c r="N101" s="294"/>
      <c r="O101" s="294"/>
      <c r="P101" s="294"/>
      <c r="Q101" s="294"/>
      <c r="R101" s="294"/>
      <c r="S101" s="294"/>
      <c r="T101" s="294"/>
      <c r="U101" s="294"/>
      <c r="V101" s="294"/>
      <c r="W101" s="294"/>
      <c r="X101" s="89"/>
      <c r="Z101" s="162"/>
      <c r="AA101" s="162"/>
      <c r="AB101" s="162"/>
      <c r="AC101" s="162"/>
      <c r="AD101" s="162"/>
      <c r="AE101" s="162"/>
      <c r="AF101" s="162"/>
      <c r="AG101" s="162"/>
      <c r="AH101" s="162"/>
      <c r="AI101" s="162"/>
    </row>
    <row r="102" spans="1:35" x14ac:dyDescent="0.15">
      <c r="A102" s="329" t="s">
        <v>153</v>
      </c>
      <c r="B102" s="330">
        <f>B77+1</f>
        <v>5</v>
      </c>
      <c r="C102" s="61"/>
      <c r="D102" s="61"/>
      <c r="E102" s="61"/>
      <c r="F102" s="61"/>
      <c r="G102" s="61"/>
      <c r="H102" s="61"/>
      <c r="I102" s="61"/>
      <c r="J102" s="61"/>
      <c r="K102" s="638" t="str">
        <f>IF(K173-W173&lt;=0,"現状のまま","メニュー変更")</f>
        <v>現状のまま</v>
      </c>
      <c r="L102" s="2"/>
      <c r="M102" s="255" t="s">
        <v>153</v>
      </c>
      <c r="N102" s="256">
        <f>N77+1</f>
        <v>5</v>
      </c>
      <c r="O102" s="257"/>
      <c r="P102" s="257"/>
      <c r="Q102" s="257"/>
      <c r="R102" s="257"/>
      <c r="S102" s="257"/>
      <c r="T102" s="257"/>
      <c r="U102" s="257"/>
      <c r="V102" s="257"/>
      <c r="W102" s="257"/>
      <c r="X102" s="2"/>
      <c r="Y102" s="47" t="s">
        <v>153</v>
      </c>
      <c r="Z102" s="62">
        <f>Z77+1</f>
        <v>5</v>
      </c>
    </row>
    <row r="103" spans="1:35" x14ac:dyDescent="0.15">
      <c r="A103" s="331"/>
      <c r="B103" s="61"/>
      <c r="C103" s="61"/>
      <c r="D103" s="61"/>
      <c r="E103" s="61"/>
      <c r="F103" s="61"/>
      <c r="G103" s="61"/>
      <c r="H103" s="61"/>
      <c r="I103" s="61"/>
      <c r="J103" s="61"/>
      <c r="K103" s="638"/>
      <c r="L103" s="2"/>
      <c r="M103" s="258"/>
      <c r="N103" s="257"/>
      <c r="O103" s="257"/>
      <c r="P103" s="257"/>
      <c r="Q103" s="257"/>
      <c r="R103" s="257"/>
      <c r="S103" s="257"/>
      <c r="T103" s="257"/>
      <c r="U103" s="257"/>
      <c r="V103" s="257"/>
      <c r="W103" s="257"/>
      <c r="X103" s="2"/>
    </row>
    <row r="104" spans="1:35" x14ac:dyDescent="0.15">
      <c r="A104" s="331"/>
      <c r="B104" s="61"/>
      <c r="C104" s="61"/>
      <c r="D104" s="61"/>
      <c r="E104" s="61"/>
      <c r="F104" s="61"/>
      <c r="G104" s="61"/>
      <c r="H104" s="61"/>
      <c r="I104" s="61"/>
      <c r="J104" s="61"/>
      <c r="K104" s="638"/>
      <c r="L104" s="1"/>
      <c r="M104" s="258"/>
      <c r="N104" s="257"/>
      <c r="O104" s="257"/>
      <c r="P104" s="257"/>
      <c r="Q104" s="257"/>
      <c r="R104" s="257"/>
      <c r="S104" s="257"/>
      <c r="T104" s="257"/>
      <c r="U104" s="257"/>
      <c r="V104" s="257"/>
      <c r="W104" s="257"/>
      <c r="X104" s="1"/>
    </row>
    <row r="105" spans="1:35" ht="17.25" x14ac:dyDescent="0.15">
      <c r="A105" s="639" t="str">
        <f>$A$5</f>
        <v>平成29年度小郡市役所庁舎外25施設電力需給</v>
      </c>
      <c r="B105" s="639"/>
      <c r="C105" s="639"/>
      <c r="D105" s="639"/>
      <c r="E105" s="639"/>
      <c r="F105" s="639"/>
      <c r="G105" s="639"/>
      <c r="H105" s="639"/>
      <c r="I105" s="639"/>
      <c r="J105" s="639"/>
      <c r="K105" s="639"/>
      <c r="L105" s="2"/>
      <c r="M105" s="721" t="str">
        <f>$A$5</f>
        <v>平成29年度小郡市役所庁舎外25施設電力需給</v>
      </c>
      <c r="N105" s="721"/>
      <c r="O105" s="721"/>
      <c r="P105" s="721"/>
      <c r="Q105" s="721"/>
      <c r="R105" s="721"/>
      <c r="S105" s="721"/>
      <c r="T105" s="721"/>
      <c r="U105" s="721"/>
      <c r="V105" s="721"/>
      <c r="W105" s="721"/>
      <c r="X105" s="2"/>
      <c r="Y105" s="553" t="str">
        <f>$A$5</f>
        <v>平成29年度小郡市役所庁舎外25施設電力需給</v>
      </c>
      <c r="Z105" s="553"/>
      <c r="AA105" s="553"/>
      <c r="AB105" s="553"/>
      <c r="AC105" s="553"/>
      <c r="AD105" s="553"/>
      <c r="AE105" s="553"/>
      <c r="AF105" s="553"/>
      <c r="AG105" s="553"/>
      <c r="AH105" s="553"/>
      <c r="AI105" s="553"/>
    </row>
    <row r="106" spans="1:35" x14ac:dyDescent="0.15">
      <c r="A106" s="640" t="str">
        <f>$A$6</f>
        <v>（平成３０年１月～平成３０年１２月期間中の予定金額）</v>
      </c>
      <c r="B106" s="640"/>
      <c r="C106" s="640"/>
      <c r="D106" s="640"/>
      <c r="E106" s="640"/>
      <c r="F106" s="640"/>
      <c r="G106" s="640"/>
      <c r="H106" s="640"/>
      <c r="I106" s="640"/>
      <c r="J106" s="640"/>
      <c r="K106" s="640"/>
      <c r="L106" s="2"/>
      <c r="M106" s="722" t="str">
        <f>$A$6</f>
        <v>（平成３０年１月～平成３０年１２月期間中の予定金額）</v>
      </c>
      <c r="N106" s="722"/>
      <c r="O106" s="722"/>
      <c r="P106" s="722"/>
      <c r="Q106" s="722"/>
      <c r="R106" s="722"/>
      <c r="S106" s="722"/>
      <c r="T106" s="722"/>
      <c r="U106" s="722"/>
      <c r="V106" s="722"/>
      <c r="W106" s="722"/>
      <c r="X106" s="2"/>
      <c r="Y106" s="555" t="str">
        <f>$A$6</f>
        <v>（平成３０年１月～平成３０年１２月期間中の予定金額）</v>
      </c>
      <c r="Z106" s="555"/>
      <c r="AA106" s="555"/>
      <c r="AB106" s="555"/>
      <c r="AC106" s="555"/>
      <c r="AD106" s="555"/>
      <c r="AE106" s="555"/>
      <c r="AF106" s="555"/>
      <c r="AG106" s="555"/>
      <c r="AH106" s="555"/>
      <c r="AI106" s="555"/>
    </row>
    <row r="107" spans="1:35" ht="14.25" thickBot="1" x14ac:dyDescent="0.2">
      <c r="A107" s="104" t="s">
        <v>114</v>
      </c>
      <c r="B107" s="61"/>
      <c r="C107" s="61"/>
      <c r="D107" s="61"/>
      <c r="E107" s="61"/>
      <c r="F107" s="61"/>
      <c r="G107" s="61"/>
      <c r="H107" s="61"/>
      <c r="I107" s="61"/>
      <c r="J107" s="61"/>
      <c r="K107" s="329" t="s">
        <v>4</v>
      </c>
      <c r="L107" s="2"/>
      <c r="M107" s="326" t="s">
        <v>114</v>
      </c>
      <c r="N107" s="257"/>
      <c r="O107" s="257"/>
      <c r="P107" s="257"/>
      <c r="Q107" s="257"/>
      <c r="R107" s="257"/>
      <c r="S107" s="257"/>
      <c r="T107" s="257"/>
      <c r="U107" s="257"/>
      <c r="V107" s="257"/>
      <c r="W107" s="255" t="s">
        <v>70</v>
      </c>
      <c r="X107" s="2"/>
      <c r="Y107" s="165" t="s">
        <v>114</v>
      </c>
      <c r="AI107" s="47" t="s">
        <v>84</v>
      </c>
    </row>
    <row r="108" spans="1:35" ht="18" customHeight="1" thickBot="1" x14ac:dyDescent="0.2">
      <c r="A108" s="628" t="s">
        <v>33</v>
      </c>
      <c r="B108" s="631" t="s">
        <v>24</v>
      </c>
      <c r="C108" s="632"/>
      <c r="D108" s="632"/>
      <c r="E108" s="633"/>
      <c r="F108" s="634" t="s">
        <v>34</v>
      </c>
      <c r="G108" s="635"/>
      <c r="H108" s="635"/>
      <c r="I108" s="635"/>
      <c r="J108" s="636"/>
      <c r="K108" s="625" t="s">
        <v>35</v>
      </c>
      <c r="L108" s="2"/>
      <c r="M108" s="723" t="s">
        <v>33</v>
      </c>
      <c r="N108" s="726" t="s">
        <v>24</v>
      </c>
      <c r="O108" s="727"/>
      <c r="P108" s="727"/>
      <c r="Q108" s="728"/>
      <c r="R108" s="729" t="s">
        <v>34</v>
      </c>
      <c r="S108" s="730"/>
      <c r="T108" s="730"/>
      <c r="U108" s="730"/>
      <c r="V108" s="731"/>
      <c r="W108" s="732" t="s">
        <v>35</v>
      </c>
      <c r="X108" s="2"/>
      <c r="Y108" s="567" t="s">
        <v>33</v>
      </c>
      <c r="Z108" s="570" t="s">
        <v>24</v>
      </c>
      <c r="AA108" s="571"/>
      <c r="AB108" s="571"/>
      <c r="AC108" s="572"/>
      <c r="AD108" s="573" t="s">
        <v>34</v>
      </c>
      <c r="AE108" s="574"/>
      <c r="AF108" s="574"/>
      <c r="AG108" s="574"/>
      <c r="AH108" s="575"/>
      <c r="AI108" s="544" t="s">
        <v>35</v>
      </c>
    </row>
    <row r="109" spans="1:35" ht="13.5" customHeight="1" x14ac:dyDescent="0.15">
      <c r="A109" s="629"/>
      <c r="B109" s="627" t="s">
        <v>28</v>
      </c>
      <c r="C109" s="625" t="s">
        <v>29</v>
      </c>
      <c r="D109" s="627" t="s">
        <v>25</v>
      </c>
      <c r="E109" s="637" t="s">
        <v>31</v>
      </c>
      <c r="F109" s="621" t="s">
        <v>36</v>
      </c>
      <c r="G109" s="622"/>
      <c r="H109" s="332"/>
      <c r="I109" s="625" t="s">
        <v>37</v>
      </c>
      <c r="J109" s="627" t="s">
        <v>38</v>
      </c>
      <c r="K109" s="626"/>
      <c r="L109" s="2"/>
      <c r="M109" s="724"/>
      <c r="N109" s="718" t="s">
        <v>28</v>
      </c>
      <c r="O109" s="732" t="s">
        <v>29</v>
      </c>
      <c r="P109" s="718" t="s">
        <v>25</v>
      </c>
      <c r="Q109" s="738" t="s">
        <v>31</v>
      </c>
      <c r="R109" s="734" t="s">
        <v>36</v>
      </c>
      <c r="S109" s="735"/>
      <c r="T109" s="260"/>
      <c r="U109" s="732" t="s">
        <v>37</v>
      </c>
      <c r="V109" s="718" t="s">
        <v>38</v>
      </c>
      <c r="W109" s="733"/>
      <c r="X109" s="2"/>
      <c r="Y109" s="568"/>
      <c r="Z109" s="546" t="s">
        <v>28</v>
      </c>
      <c r="AA109" s="544" t="s">
        <v>29</v>
      </c>
      <c r="AB109" s="546" t="s">
        <v>25</v>
      </c>
      <c r="AC109" s="582" t="s">
        <v>31</v>
      </c>
      <c r="AD109" s="540" t="s">
        <v>36</v>
      </c>
      <c r="AE109" s="541"/>
      <c r="AF109" s="135"/>
      <c r="AG109" s="544" t="s">
        <v>37</v>
      </c>
      <c r="AH109" s="546" t="s">
        <v>38</v>
      </c>
      <c r="AI109" s="545"/>
    </row>
    <row r="110" spans="1:35" x14ac:dyDescent="0.15">
      <c r="A110" s="629"/>
      <c r="B110" s="627"/>
      <c r="C110" s="626"/>
      <c r="D110" s="627"/>
      <c r="E110" s="627"/>
      <c r="F110" s="623"/>
      <c r="G110" s="624"/>
      <c r="H110" s="333"/>
      <c r="I110" s="626"/>
      <c r="J110" s="627"/>
      <c r="K110" s="626"/>
      <c r="L110" s="2"/>
      <c r="M110" s="724"/>
      <c r="N110" s="718"/>
      <c r="O110" s="733"/>
      <c r="P110" s="718"/>
      <c r="Q110" s="718"/>
      <c r="R110" s="736"/>
      <c r="S110" s="737"/>
      <c r="T110" s="261"/>
      <c r="U110" s="733"/>
      <c r="V110" s="718"/>
      <c r="W110" s="733"/>
      <c r="X110" s="2"/>
      <c r="Y110" s="568"/>
      <c r="Z110" s="546"/>
      <c r="AA110" s="545"/>
      <c r="AB110" s="546"/>
      <c r="AC110" s="546"/>
      <c r="AD110" s="542"/>
      <c r="AE110" s="543"/>
      <c r="AF110" s="136"/>
      <c r="AG110" s="545"/>
      <c r="AH110" s="546"/>
      <c r="AI110" s="545"/>
    </row>
    <row r="111" spans="1:35" ht="23.25" customHeight="1" x14ac:dyDescent="0.15">
      <c r="A111" s="629"/>
      <c r="B111" s="334" t="s">
        <v>13</v>
      </c>
      <c r="C111" s="335" t="s">
        <v>30</v>
      </c>
      <c r="D111" s="334" t="s">
        <v>14</v>
      </c>
      <c r="E111" s="334" t="s">
        <v>40</v>
      </c>
      <c r="F111" s="617" t="s">
        <v>15</v>
      </c>
      <c r="G111" s="618"/>
      <c r="H111" s="336"/>
      <c r="I111" s="335" t="s">
        <v>30</v>
      </c>
      <c r="J111" s="334" t="s">
        <v>40</v>
      </c>
      <c r="K111" s="334" t="s">
        <v>40</v>
      </c>
      <c r="L111" s="2"/>
      <c r="M111" s="724"/>
      <c r="N111" s="262" t="s">
        <v>152</v>
      </c>
      <c r="O111" s="263" t="s">
        <v>30</v>
      </c>
      <c r="P111" s="262" t="s">
        <v>14</v>
      </c>
      <c r="Q111" s="262" t="s">
        <v>40</v>
      </c>
      <c r="R111" s="719" t="s">
        <v>15</v>
      </c>
      <c r="S111" s="720"/>
      <c r="T111" s="264"/>
      <c r="U111" s="263" t="s">
        <v>30</v>
      </c>
      <c r="V111" s="262" t="s">
        <v>40</v>
      </c>
      <c r="W111" s="262" t="s">
        <v>40</v>
      </c>
      <c r="X111" s="2"/>
      <c r="Y111" s="568"/>
      <c r="Z111" s="137" t="s">
        <v>152</v>
      </c>
      <c r="AA111" s="138" t="s">
        <v>30</v>
      </c>
      <c r="AB111" s="137" t="s">
        <v>14</v>
      </c>
      <c r="AC111" s="137" t="s">
        <v>40</v>
      </c>
      <c r="AD111" s="549" t="s">
        <v>15</v>
      </c>
      <c r="AE111" s="550"/>
      <c r="AF111" s="139"/>
      <c r="AG111" s="138" t="s">
        <v>30</v>
      </c>
      <c r="AH111" s="137" t="s">
        <v>40</v>
      </c>
      <c r="AI111" s="137" t="s">
        <v>40</v>
      </c>
    </row>
    <row r="112" spans="1:35" ht="15.75" customHeight="1" thickBot="1" x14ac:dyDescent="0.2">
      <c r="A112" s="630"/>
      <c r="B112" s="337" t="s">
        <v>16</v>
      </c>
      <c r="C112" s="337" t="s">
        <v>17</v>
      </c>
      <c r="D112" s="337" t="s">
        <v>18</v>
      </c>
      <c r="E112" s="337" t="s">
        <v>19</v>
      </c>
      <c r="F112" s="338"/>
      <c r="G112" s="339" t="s">
        <v>20</v>
      </c>
      <c r="H112" s="339"/>
      <c r="I112" s="337" t="s">
        <v>21</v>
      </c>
      <c r="J112" s="337" t="s">
        <v>22</v>
      </c>
      <c r="K112" s="339" t="s">
        <v>23</v>
      </c>
      <c r="L112" s="2"/>
      <c r="M112" s="725"/>
      <c r="N112" s="265" t="s">
        <v>16</v>
      </c>
      <c r="O112" s="265" t="s">
        <v>17</v>
      </c>
      <c r="P112" s="265" t="s">
        <v>18</v>
      </c>
      <c r="Q112" s="265" t="s">
        <v>19</v>
      </c>
      <c r="R112" s="266"/>
      <c r="S112" s="267" t="s">
        <v>20</v>
      </c>
      <c r="T112" s="267"/>
      <c r="U112" s="265" t="s">
        <v>21</v>
      </c>
      <c r="V112" s="265" t="s">
        <v>22</v>
      </c>
      <c r="W112" s="267" t="s">
        <v>23</v>
      </c>
      <c r="X112" s="2"/>
      <c r="Y112" s="569"/>
      <c r="Z112" s="122" t="s">
        <v>16</v>
      </c>
      <c r="AA112" s="122" t="s">
        <v>17</v>
      </c>
      <c r="AB112" s="122" t="s">
        <v>18</v>
      </c>
      <c r="AC112" s="122" t="s">
        <v>19</v>
      </c>
      <c r="AD112" s="140"/>
      <c r="AE112" s="141" t="s">
        <v>20</v>
      </c>
      <c r="AF112" s="141"/>
      <c r="AG112" s="122" t="s">
        <v>21</v>
      </c>
      <c r="AH112" s="122" t="s">
        <v>22</v>
      </c>
      <c r="AI112" s="141" t="s">
        <v>23</v>
      </c>
    </row>
    <row r="113" spans="1:35" ht="15" customHeight="1" x14ac:dyDescent="0.15">
      <c r="A113" s="776" t="s">
        <v>83</v>
      </c>
      <c r="B113" s="619">
        <v>356</v>
      </c>
      <c r="C113" s="768">
        <v>2008.8</v>
      </c>
      <c r="D113" s="771">
        <v>100</v>
      </c>
      <c r="E113" s="774">
        <f>ROUNDDOWN(B113*C113*((185-D113)/100),2)</f>
        <v>607862.88</v>
      </c>
      <c r="F113" s="340" t="s">
        <v>98</v>
      </c>
      <c r="G113" s="341">
        <v>35600</v>
      </c>
      <c r="H113" s="342">
        <f>SUM(G113:G117)</f>
        <v>91879</v>
      </c>
      <c r="I113" s="343">
        <f>12.28+0.06</f>
        <v>12.34</v>
      </c>
      <c r="J113" s="344">
        <f t="shared" ref="J113:J144" si="72">ROUNDDOWN(G113*I113,2)</f>
        <v>439304</v>
      </c>
      <c r="K113" s="782">
        <f>ROUNDDOWN(E113+J113+J114+J115+J116+J117,2)</f>
        <v>1672136.18</v>
      </c>
      <c r="L113" s="2"/>
      <c r="M113" s="745" t="s">
        <v>83</v>
      </c>
      <c r="N113" s="756">
        <v>356</v>
      </c>
      <c r="O113" s="759">
        <v>2008.8</v>
      </c>
      <c r="P113" s="762">
        <v>100</v>
      </c>
      <c r="Q113" s="765">
        <f>ROUNDDOWN(N113*O113*((185-P113)/100),2)</f>
        <v>607862.88</v>
      </c>
      <c r="R113" s="374" t="s">
        <v>98</v>
      </c>
      <c r="S113" s="375">
        <v>35600</v>
      </c>
      <c r="T113" s="375"/>
      <c r="U113" s="376">
        <v>11.87</v>
      </c>
      <c r="V113" s="377">
        <f t="shared" ref="V113:V144" si="73">ROUNDDOWN(S113*U113,2)</f>
        <v>422572</v>
      </c>
      <c r="W113" s="766">
        <f>ROUNDDOWN(Q113+V113+V114+V115+V116+V117,2)</f>
        <v>1698466.61</v>
      </c>
      <c r="X113" s="2"/>
      <c r="Y113" s="616" t="s">
        <v>83</v>
      </c>
      <c r="Z113" s="603">
        <v>356</v>
      </c>
      <c r="AA113" s="605">
        <v>1296</v>
      </c>
      <c r="AB113" s="709">
        <v>100</v>
      </c>
      <c r="AC113" s="712">
        <f>ROUNDDOWN(Z113*AA113*((185-AB113)/100),2)</f>
        <v>392169.6</v>
      </c>
      <c r="AD113" s="168" t="s">
        <v>98</v>
      </c>
      <c r="AE113" s="169">
        <v>35600</v>
      </c>
      <c r="AF113" s="169"/>
      <c r="AG113" s="128">
        <v>16.87</v>
      </c>
      <c r="AH113" s="100">
        <f t="shared" ref="AH113:AH144" si="74">ROUNDDOWN(AE113*AG113,2)</f>
        <v>600572</v>
      </c>
      <c r="AI113" s="713">
        <f>ROUNDDOWN(AC113+AH113+AH114+AH115+AH116+AH117,2)</f>
        <v>1942168.33</v>
      </c>
    </row>
    <row r="114" spans="1:35" ht="15" customHeight="1" x14ac:dyDescent="0.15">
      <c r="A114" s="776"/>
      <c r="B114" s="783"/>
      <c r="C114" s="769"/>
      <c r="D114" s="772"/>
      <c r="E114" s="716"/>
      <c r="F114" s="345" t="s">
        <v>99</v>
      </c>
      <c r="G114" s="346">
        <v>35600</v>
      </c>
      <c r="H114" s="347"/>
      <c r="I114" s="348">
        <f>11.28+0.06</f>
        <v>11.34</v>
      </c>
      <c r="J114" s="349">
        <f t="shared" si="72"/>
        <v>403704</v>
      </c>
      <c r="K114" s="714"/>
      <c r="L114" s="2"/>
      <c r="M114" s="745"/>
      <c r="N114" s="757"/>
      <c r="O114" s="760"/>
      <c r="P114" s="763"/>
      <c r="Q114" s="740"/>
      <c r="R114" s="378" t="s">
        <v>99</v>
      </c>
      <c r="S114" s="379">
        <v>35600</v>
      </c>
      <c r="T114" s="379"/>
      <c r="U114" s="380">
        <v>11.87</v>
      </c>
      <c r="V114" s="381">
        <f t="shared" si="73"/>
        <v>422572</v>
      </c>
      <c r="W114" s="742"/>
      <c r="X114" s="2"/>
      <c r="Y114" s="616"/>
      <c r="Z114" s="707"/>
      <c r="AA114" s="708"/>
      <c r="AB114" s="710"/>
      <c r="AC114" s="699"/>
      <c r="AD114" s="171" t="s">
        <v>99</v>
      </c>
      <c r="AE114" s="172">
        <v>35600</v>
      </c>
      <c r="AF114" s="172"/>
      <c r="AG114" s="174">
        <v>16.87</v>
      </c>
      <c r="AH114" s="175">
        <f t="shared" si="74"/>
        <v>600572</v>
      </c>
      <c r="AI114" s="701"/>
    </row>
    <row r="115" spans="1:35" ht="15" customHeight="1" x14ac:dyDescent="0.15">
      <c r="A115" s="776"/>
      <c r="B115" s="783"/>
      <c r="C115" s="769"/>
      <c r="D115" s="772"/>
      <c r="E115" s="716"/>
      <c r="F115" s="345" t="s">
        <v>100</v>
      </c>
      <c r="G115" s="346">
        <v>20679</v>
      </c>
      <c r="H115" s="347"/>
      <c r="I115" s="348">
        <f>10.64+0.06</f>
        <v>10.700000000000001</v>
      </c>
      <c r="J115" s="349">
        <f t="shared" si="72"/>
        <v>221265.3</v>
      </c>
      <c r="K115" s="714"/>
      <c r="L115" s="2"/>
      <c r="M115" s="745"/>
      <c r="N115" s="757"/>
      <c r="O115" s="760"/>
      <c r="P115" s="763"/>
      <c r="Q115" s="740"/>
      <c r="R115" s="378" t="s">
        <v>100</v>
      </c>
      <c r="S115" s="379">
        <v>20679</v>
      </c>
      <c r="T115" s="379"/>
      <c r="U115" s="380">
        <v>11.87</v>
      </c>
      <c r="V115" s="381">
        <f t="shared" si="73"/>
        <v>245459.73</v>
      </c>
      <c r="W115" s="742"/>
      <c r="X115" s="2"/>
      <c r="Y115" s="616"/>
      <c r="Z115" s="707"/>
      <c r="AA115" s="708"/>
      <c r="AB115" s="710"/>
      <c r="AC115" s="699"/>
      <c r="AD115" s="171" t="s">
        <v>100</v>
      </c>
      <c r="AE115" s="172">
        <v>20679</v>
      </c>
      <c r="AF115" s="172"/>
      <c r="AG115" s="174">
        <v>16.87</v>
      </c>
      <c r="AH115" s="175">
        <f t="shared" si="74"/>
        <v>348854.73</v>
      </c>
      <c r="AI115" s="701"/>
    </row>
    <row r="116" spans="1:35" ht="15" customHeight="1" x14ac:dyDescent="0.15">
      <c r="A116" s="776"/>
      <c r="B116" s="783"/>
      <c r="C116" s="769"/>
      <c r="D116" s="772"/>
      <c r="E116" s="716"/>
      <c r="F116" s="345" t="s">
        <v>101</v>
      </c>
      <c r="G116" s="346">
        <v>0</v>
      </c>
      <c r="H116" s="347"/>
      <c r="I116" s="348">
        <f>10.29+0.06</f>
        <v>10.35</v>
      </c>
      <c r="J116" s="349">
        <f t="shared" si="72"/>
        <v>0</v>
      </c>
      <c r="K116" s="714"/>
      <c r="L116" s="2"/>
      <c r="M116" s="745"/>
      <c r="N116" s="757"/>
      <c r="O116" s="760"/>
      <c r="P116" s="763"/>
      <c r="Q116" s="740"/>
      <c r="R116" s="378" t="s">
        <v>101</v>
      </c>
      <c r="S116" s="379">
        <v>0</v>
      </c>
      <c r="T116" s="379"/>
      <c r="U116" s="380">
        <v>11.87</v>
      </c>
      <c r="V116" s="381">
        <f t="shared" si="73"/>
        <v>0</v>
      </c>
      <c r="W116" s="742"/>
      <c r="X116" s="2"/>
      <c r="Y116" s="616"/>
      <c r="Z116" s="707"/>
      <c r="AA116" s="708"/>
      <c r="AB116" s="710"/>
      <c r="AC116" s="699"/>
      <c r="AD116" s="171" t="s">
        <v>101</v>
      </c>
      <c r="AE116" s="172">
        <v>0</v>
      </c>
      <c r="AF116" s="172"/>
      <c r="AG116" s="174">
        <v>16.87</v>
      </c>
      <c r="AH116" s="175">
        <f t="shared" si="74"/>
        <v>0</v>
      </c>
      <c r="AI116" s="701"/>
    </row>
    <row r="117" spans="1:35" ht="15" customHeight="1" x14ac:dyDescent="0.15">
      <c r="A117" s="777"/>
      <c r="B117" s="620"/>
      <c r="C117" s="770"/>
      <c r="D117" s="773"/>
      <c r="E117" s="717"/>
      <c r="F117" s="350" t="s">
        <v>102</v>
      </c>
      <c r="G117" s="351">
        <v>0</v>
      </c>
      <c r="H117" s="352"/>
      <c r="I117" s="353">
        <f>10.17+0.06</f>
        <v>10.23</v>
      </c>
      <c r="J117" s="354">
        <f t="shared" si="72"/>
        <v>0</v>
      </c>
      <c r="K117" s="714"/>
      <c r="L117" s="2"/>
      <c r="M117" s="746"/>
      <c r="N117" s="758"/>
      <c r="O117" s="761"/>
      <c r="P117" s="764"/>
      <c r="Q117" s="741"/>
      <c r="R117" s="382" t="s">
        <v>102</v>
      </c>
      <c r="S117" s="383">
        <v>0</v>
      </c>
      <c r="T117" s="383"/>
      <c r="U117" s="384">
        <v>11.87</v>
      </c>
      <c r="V117" s="385">
        <f t="shared" si="73"/>
        <v>0</v>
      </c>
      <c r="W117" s="742"/>
      <c r="X117" s="2"/>
      <c r="Y117" s="601"/>
      <c r="Z117" s="604"/>
      <c r="AA117" s="606"/>
      <c r="AB117" s="711"/>
      <c r="AC117" s="700"/>
      <c r="AD117" s="176" t="s">
        <v>102</v>
      </c>
      <c r="AE117" s="177">
        <v>0</v>
      </c>
      <c r="AF117" s="177"/>
      <c r="AG117" s="129">
        <v>16.87</v>
      </c>
      <c r="AH117" s="101">
        <f t="shared" si="74"/>
        <v>0</v>
      </c>
      <c r="AI117" s="701"/>
    </row>
    <row r="118" spans="1:35" ht="15" customHeight="1" x14ac:dyDescent="0.15">
      <c r="A118" s="775" t="s">
        <v>72</v>
      </c>
      <c r="B118" s="612">
        <f>B113</f>
        <v>356</v>
      </c>
      <c r="C118" s="779">
        <f>C113</f>
        <v>2008.8</v>
      </c>
      <c r="D118" s="612">
        <f>D113</f>
        <v>100</v>
      </c>
      <c r="E118" s="715">
        <f>ROUNDDOWN(B118*C118*((185-D118)/100),2)</f>
        <v>607862.88</v>
      </c>
      <c r="F118" s="355" t="s">
        <v>98</v>
      </c>
      <c r="G118" s="356">
        <v>35600</v>
      </c>
      <c r="H118" s="342">
        <f>SUM(G118:G122)</f>
        <v>87711</v>
      </c>
      <c r="I118" s="357">
        <f t="shared" ref="I118:I142" si="75">I113</f>
        <v>12.34</v>
      </c>
      <c r="J118" s="358">
        <f t="shared" si="72"/>
        <v>439304</v>
      </c>
      <c r="K118" s="714">
        <f>ROUNDDOWN(E118+J118+J119+J120+J121+J122,2)</f>
        <v>1627538.58</v>
      </c>
      <c r="L118" s="2"/>
      <c r="M118" s="744" t="s">
        <v>72</v>
      </c>
      <c r="N118" s="747">
        <f>N113</f>
        <v>356</v>
      </c>
      <c r="O118" s="750">
        <f>O113</f>
        <v>2008.8</v>
      </c>
      <c r="P118" s="747">
        <f>P113</f>
        <v>100</v>
      </c>
      <c r="Q118" s="739">
        <f>ROUNDDOWN(N118*O118*((185-P118)/100),2)</f>
        <v>607862.88</v>
      </c>
      <c r="R118" s="386" t="s">
        <v>98</v>
      </c>
      <c r="S118" s="387">
        <v>35600</v>
      </c>
      <c r="T118" s="388"/>
      <c r="U118" s="389">
        <f t="shared" ref="U118:U142" si="76">U113</f>
        <v>11.87</v>
      </c>
      <c r="V118" s="390">
        <f t="shared" si="73"/>
        <v>422572</v>
      </c>
      <c r="W118" s="742">
        <f>ROUNDDOWN(Q118+V118+V119+V120+V121+V122,2)</f>
        <v>1648992.45</v>
      </c>
      <c r="X118" s="2"/>
      <c r="Y118" s="583" t="s">
        <v>72</v>
      </c>
      <c r="Z118" s="585">
        <f>Z113</f>
        <v>356</v>
      </c>
      <c r="AA118" s="587">
        <f>AA113</f>
        <v>1296</v>
      </c>
      <c r="AB118" s="589">
        <f>AB113</f>
        <v>100</v>
      </c>
      <c r="AC118" s="698">
        <f>ROUNDDOWN(Z118*AA118*((185-AB118)/100),2)</f>
        <v>392169.6</v>
      </c>
      <c r="AD118" s="179" t="s">
        <v>98</v>
      </c>
      <c r="AE118" s="180">
        <v>35600</v>
      </c>
      <c r="AF118" s="170"/>
      <c r="AG118" s="181">
        <f t="shared" ref="AG118:AG142" si="77">AG113</f>
        <v>16.87</v>
      </c>
      <c r="AH118" s="102">
        <f t="shared" si="74"/>
        <v>600572</v>
      </c>
      <c r="AI118" s="701">
        <f>ROUNDDOWN(AC118+AH118+AH119+AH120+AH121+AH122,2)</f>
        <v>1871854.17</v>
      </c>
    </row>
    <row r="119" spans="1:35" ht="15" customHeight="1" x14ac:dyDescent="0.15">
      <c r="A119" s="776"/>
      <c r="B119" s="778"/>
      <c r="C119" s="780"/>
      <c r="D119" s="778"/>
      <c r="E119" s="716"/>
      <c r="F119" s="345" t="s">
        <v>99</v>
      </c>
      <c r="G119" s="346">
        <v>35600</v>
      </c>
      <c r="H119" s="347"/>
      <c r="I119" s="359">
        <f t="shared" si="75"/>
        <v>11.34</v>
      </c>
      <c r="J119" s="349">
        <f t="shared" si="72"/>
        <v>403704</v>
      </c>
      <c r="K119" s="714"/>
      <c r="L119" s="2"/>
      <c r="M119" s="745"/>
      <c r="N119" s="748"/>
      <c r="O119" s="751"/>
      <c r="P119" s="748"/>
      <c r="Q119" s="740"/>
      <c r="R119" s="378" t="s">
        <v>99</v>
      </c>
      <c r="S119" s="379">
        <v>35600</v>
      </c>
      <c r="T119" s="391"/>
      <c r="U119" s="392">
        <f t="shared" si="76"/>
        <v>11.87</v>
      </c>
      <c r="V119" s="381">
        <f t="shared" si="73"/>
        <v>422572</v>
      </c>
      <c r="W119" s="742"/>
      <c r="X119" s="2"/>
      <c r="Y119" s="616"/>
      <c r="Z119" s="703"/>
      <c r="AA119" s="704"/>
      <c r="AB119" s="705"/>
      <c r="AC119" s="699"/>
      <c r="AD119" s="171" t="s">
        <v>99</v>
      </c>
      <c r="AE119" s="172">
        <v>35600</v>
      </c>
      <c r="AF119" s="173"/>
      <c r="AG119" s="182">
        <f t="shared" si="77"/>
        <v>16.87</v>
      </c>
      <c r="AH119" s="175">
        <f t="shared" si="74"/>
        <v>600572</v>
      </c>
      <c r="AI119" s="701"/>
    </row>
    <row r="120" spans="1:35" ht="15" customHeight="1" x14ac:dyDescent="0.15">
      <c r="A120" s="776"/>
      <c r="B120" s="778"/>
      <c r="C120" s="780"/>
      <c r="D120" s="778"/>
      <c r="E120" s="716"/>
      <c r="F120" s="345" t="s">
        <v>100</v>
      </c>
      <c r="G120" s="346">
        <v>16511</v>
      </c>
      <c r="H120" s="347"/>
      <c r="I120" s="359">
        <f t="shared" si="75"/>
        <v>10.700000000000001</v>
      </c>
      <c r="J120" s="349">
        <f t="shared" si="72"/>
        <v>176667.7</v>
      </c>
      <c r="K120" s="714"/>
      <c r="L120" s="2"/>
      <c r="M120" s="745"/>
      <c r="N120" s="748"/>
      <c r="O120" s="751"/>
      <c r="P120" s="748"/>
      <c r="Q120" s="740"/>
      <c r="R120" s="378" t="s">
        <v>100</v>
      </c>
      <c r="S120" s="379">
        <v>16511</v>
      </c>
      <c r="T120" s="391"/>
      <c r="U120" s="392">
        <f t="shared" si="76"/>
        <v>11.87</v>
      </c>
      <c r="V120" s="381">
        <f t="shared" si="73"/>
        <v>195985.57</v>
      </c>
      <c r="W120" s="742"/>
      <c r="X120" s="2"/>
      <c r="Y120" s="616"/>
      <c r="Z120" s="703"/>
      <c r="AA120" s="704"/>
      <c r="AB120" s="705"/>
      <c r="AC120" s="699"/>
      <c r="AD120" s="171" t="s">
        <v>100</v>
      </c>
      <c r="AE120" s="172">
        <v>16511</v>
      </c>
      <c r="AF120" s="173"/>
      <c r="AG120" s="182">
        <f t="shared" si="77"/>
        <v>16.87</v>
      </c>
      <c r="AH120" s="175">
        <f t="shared" si="74"/>
        <v>278540.57</v>
      </c>
      <c r="AI120" s="701"/>
    </row>
    <row r="121" spans="1:35" ht="15" customHeight="1" x14ac:dyDescent="0.15">
      <c r="A121" s="776"/>
      <c r="B121" s="778"/>
      <c r="C121" s="780"/>
      <c r="D121" s="778"/>
      <c r="E121" s="716"/>
      <c r="F121" s="345" t="s">
        <v>101</v>
      </c>
      <c r="G121" s="346">
        <v>0</v>
      </c>
      <c r="H121" s="347"/>
      <c r="I121" s="359">
        <f t="shared" si="75"/>
        <v>10.35</v>
      </c>
      <c r="J121" s="349">
        <f t="shared" si="72"/>
        <v>0</v>
      </c>
      <c r="K121" s="714"/>
      <c r="L121" s="2"/>
      <c r="M121" s="745"/>
      <c r="N121" s="748"/>
      <c r="O121" s="751"/>
      <c r="P121" s="748"/>
      <c r="Q121" s="740"/>
      <c r="R121" s="378" t="s">
        <v>101</v>
      </c>
      <c r="S121" s="379">
        <v>0</v>
      </c>
      <c r="T121" s="391"/>
      <c r="U121" s="392">
        <f t="shared" si="76"/>
        <v>11.87</v>
      </c>
      <c r="V121" s="381">
        <f t="shared" si="73"/>
        <v>0</v>
      </c>
      <c r="W121" s="742"/>
      <c r="X121" s="2"/>
      <c r="Y121" s="616"/>
      <c r="Z121" s="703"/>
      <c r="AA121" s="704"/>
      <c r="AB121" s="705"/>
      <c r="AC121" s="699"/>
      <c r="AD121" s="171" t="s">
        <v>101</v>
      </c>
      <c r="AE121" s="172">
        <v>0</v>
      </c>
      <c r="AF121" s="173"/>
      <c r="AG121" s="182">
        <f t="shared" si="77"/>
        <v>16.87</v>
      </c>
      <c r="AH121" s="175">
        <f t="shared" si="74"/>
        <v>0</v>
      </c>
      <c r="AI121" s="701"/>
    </row>
    <row r="122" spans="1:35" ht="15" customHeight="1" x14ac:dyDescent="0.15">
      <c r="A122" s="777"/>
      <c r="B122" s="614"/>
      <c r="C122" s="781"/>
      <c r="D122" s="614"/>
      <c r="E122" s="717"/>
      <c r="F122" s="350" t="s">
        <v>102</v>
      </c>
      <c r="G122" s="351">
        <v>0</v>
      </c>
      <c r="H122" s="352"/>
      <c r="I122" s="360">
        <f t="shared" si="75"/>
        <v>10.23</v>
      </c>
      <c r="J122" s="354">
        <f t="shared" si="72"/>
        <v>0</v>
      </c>
      <c r="K122" s="714"/>
      <c r="L122" s="2"/>
      <c r="M122" s="746"/>
      <c r="N122" s="749"/>
      <c r="O122" s="752"/>
      <c r="P122" s="749"/>
      <c r="Q122" s="741"/>
      <c r="R122" s="382" t="s">
        <v>102</v>
      </c>
      <c r="S122" s="383">
        <v>0</v>
      </c>
      <c r="T122" s="393"/>
      <c r="U122" s="394">
        <f t="shared" si="76"/>
        <v>11.87</v>
      </c>
      <c r="V122" s="385">
        <f t="shared" si="73"/>
        <v>0</v>
      </c>
      <c r="W122" s="742"/>
      <c r="X122" s="2"/>
      <c r="Y122" s="601"/>
      <c r="Z122" s="596"/>
      <c r="AA122" s="597"/>
      <c r="AB122" s="598"/>
      <c r="AC122" s="700"/>
      <c r="AD122" s="176" t="s">
        <v>102</v>
      </c>
      <c r="AE122" s="177">
        <v>0</v>
      </c>
      <c r="AF122" s="178"/>
      <c r="AG122" s="183">
        <f t="shared" si="77"/>
        <v>16.87</v>
      </c>
      <c r="AH122" s="101">
        <f t="shared" si="74"/>
        <v>0</v>
      </c>
      <c r="AI122" s="701"/>
    </row>
    <row r="123" spans="1:35" ht="15" customHeight="1" x14ac:dyDescent="0.15">
      <c r="A123" s="775" t="s">
        <v>73</v>
      </c>
      <c r="B123" s="612">
        <f>B118</f>
        <v>356</v>
      </c>
      <c r="C123" s="779">
        <f>C118</f>
        <v>2008.8</v>
      </c>
      <c r="D123" s="612">
        <f>D118</f>
        <v>100</v>
      </c>
      <c r="E123" s="715">
        <f>ROUNDDOWN(B123*C123*((185-D123)/100),2)</f>
        <v>607862.88</v>
      </c>
      <c r="F123" s="355" t="s">
        <v>98</v>
      </c>
      <c r="G123" s="356">
        <v>35600</v>
      </c>
      <c r="H123" s="342">
        <f>SUM(G123:G127)</f>
        <v>87199</v>
      </c>
      <c r="I123" s="357">
        <f t="shared" si="75"/>
        <v>12.34</v>
      </c>
      <c r="J123" s="358">
        <f t="shared" si="72"/>
        <v>439304</v>
      </c>
      <c r="K123" s="714">
        <f>ROUNDDOWN(E123+J123+J124+J125+J126+J127,2)</f>
        <v>1622060.18</v>
      </c>
      <c r="L123" s="2"/>
      <c r="M123" s="744" t="s">
        <v>73</v>
      </c>
      <c r="N123" s="747">
        <f>N118</f>
        <v>356</v>
      </c>
      <c r="O123" s="750">
        <f>O118</f>
        <v>2008.8</v>
      </c>
      <c r="P123" s="747">
        <f>P118</f>
        <v>100</v>
      </c>
      <c r="Q123" s="739">
        <f>ROUNDDOWN(N123*O123*((185-P123)/100),2)</f>
        <v>607862.88</v>
      </c>
      <c r="R123" s="386" t="s">
        <v>98</v>
      </c>
      <c r="S123" s="387">
        <v>35600</v>
      </c>
      <c r="T123" s="388"/>
      <c r="U123" s="389">
        <f t="shared" si="76"/>
        <v>11.87</v>
      </c>
      <c r="V123" s="390">
        <f t="shared" si="73"/>
        <v>422572</v>
      </c>
      <c r="W123" s="742">
        <f>ROUNDDOWN(Q123+V123+V124+V125+V126+V127,2)</f>
        <v>1642915.01</v>
      </c>
      <c r="X123" s="2"/>
      <c r="Y123" s="583" t="s">
        <v>73</v>
      </c>
      <c r="Z123" s="585">
        <f>Z118</f>
        <v>356</v>
      </c>
      <c r="AA123" s="587">
        <f>AA118</f>
        <v>1296</v>
      </c>
      <c r="AB123" s="589">
        <f>AB118</f>
        <v>100</v>
      </c>
      <c r="AC123" s="698">
        <f>ROUNDDOWN(Z123*AA123*((185-AB123)/100),2)</f>
        <v>392169.6</v>
      </c>
      <c r="AD123" s="179" t="s">
        <v>98</v>
      </c>
      <c r="AE123" s="180">
        <v>35600</v>
      </c>
      <c r="AF123" s="170"/>
      <c r="AG123" s="181">
        <f t="shared" si="77"/>
        <v>16.87</v>
      </c>
      <c r="AH123" s="102">
        <f t="shared" si="74"/>
        <v>600572</v>
      </c>
      <c r="AI123" s="701">
        <f>ROUNDDOWN(AC123+AH123+AH124+AH125+AH126+AH127,2)</f>
        <v>1863216.73</v>
      </c>
    </row>
    <row r="124" spans="1:35" ht="15" customHeight="1" x14ac:dyDescent="0.15">
      <c r="A124" s="776"/>
      <c r="B124" s="778"/>
      <c r="C124" s="780"/>
      <c r="D124" s="778"/>
      <c r="E124" s="716"/>
      <c r="F124" s="345" t="s">
        <v>99</v>
      </c>
      <c r="G124" s="346">
        <v>35600</v>
      </c>
      <c r="H124" s="347"/>
      <c r="I124" s="359">
        <f t="shared" si="75"/>
        <v>11.34</v>
      </c>
      <c r="J124" s="349">
        <f t="shared" si="72"/>
        <v>403704</v>
      </c>
      <c r="K124" s="714"/>
      <c r="L124" s="89"/>
      <c r="M124" s="745"/>
      <c r="N124" s="748"/>
      <c r="O124" s="751"/>
      <c r="P124" s="748"/>
      <c r="Q124" s="740"/>
      <c r="R124" s="378" t="s">
        <v>99</v>
      </c>
      <c r="S124" s="379">
        <v>35600</v>
      </c>
      <c r="T124" s="391"/>
      <c r="U124" s="392">
        <f t="shared" si="76"/>
        <v>11.87</v>
      </c>
      <c r="V124" s="381">
        <f t="shared" si="73"/>
        <v>422572</v>
      </c>
      <c r="W124" s="742"/>
      <c r="X124" s="89"/>
      <c r="Y124" s="616"/>
      <c r="Z124" s="703"/>
      <c r="AA124" s="704"/>
      <c r="AB124" s="705"/>
      <c r="AC124" s="699"/>
      <c r="AD124" s="171" t="s">
        <v>99</v>
      </c>
      <c r="AE124" s="172">
        <v>35600</v>
      </c>
      <c r="AF124" s="173"/>
      <c r="AG124" s="182">
        <f t="shared" si="77"/>
        <v>16.87</v>
      </c>
      <c r="AH124" s="175">
        <f t="shared" si="74"/>
        <v>600572</v>
      </c>
      <c r="AI124" s="701"/>
    </row>
    <row r="125" spans="1:35" ht="15" customHeight="1" x14ac:dyDescent="0.15">
      <c r="A125" s="776"/>
      <c r="B125" s="778"/>
      <c r="C125" s="780"/>
      <c r="D125" s="778"/>
      <c r="E125" s="716"/>
      <c r="F125" s="345" t="s">
        <v>100</v>
      </c>
      <c r="G125" s="346">
        <v>15999</v>
      </c>
      <c r="H125" s="347"/>
      <c r="I125" s="359">
        <f t="shared" si="75"/>
        <v>10.700000000000001</v>
      </c>
      <c r="J125" s="349">
        <f t="shared" si="72"/>
        <v>171189.3</v>
      </c>
      <c r="K125" s="714"/>
      <c r="L125" s="89" t="s">
        <v>154</v>
      </c>
      <c r="M125" s="745"/>
      <c r="N125" s="748"/>
      <c r="O125" s="751"/>
      <c r="P125" s="748"/>
      <c r="Q125" s="740"/>
      <c r="R125" s="378" t="s">
        <v>100</v>
      </c>
      <c r="S125" s="379">
        <v>15999</v>
      </c>
      <c r="T125" s="391"/>
      <c r="U125" s="392">
        <f t="shared" si="76"/>
        <v>11.87</v>
      </c>
      <c r="V125" s="381">
        <f t="shared" si="73"/>
        <v>189908.13</v>
      </c>
      <c r="W125" s="742"/>
      <c r="X125" s="89" t="s">
        <v>154</v>
      </c>
      <c r="Y125" s="616"/>
      <c r="Z125" s="703"/>
      <c r="AA125" s="704"/>
      <c r="AB125" s="705"/>
      <c r="AC125" s="699"/>
      <c r="AD125" s="171" t="s">
        <v>100</v>
      </c>
      <c r="AE125" s="172">
        <v>15999</v>
      </c>
      <c r="AF125" s="173"/>
      <c r="AG125" s="182">
        <f t="shared" si="77"/>
        <v>16.87</v>
      </c>
      <c r="AH125" s="175">
        <f t="shared" si="74"/>
        <v>269903.13</v>
      </c>
      <c r="AI125" s="701"/>
    </row>
    <row r="126" spans="1:35" ht="15" customHeight="1" x14ac:dyDescent="0.15">
      <c r="A126" s="776"/>
      <c r="B126" s="778"/>
      <c r="C126" s="780"/>
      <c r="D126" s="778"/>
      <c r="E126" s="716"/>
      <c r="F126" s="345" t="s">
        <v>101</v>
      </c>
      <c r="G126" s="346">
        <v>0</v>
      </c>
      <c r="H126" s="347"/>
      <c r="I126" s="359">
        <f t="shared" si="75"/>
        <v>10.35</v>
      </c>
      <c r="J126" s="349">
        <f t="shared" si="72"/>
        <v>0</v>
      </c>
      <c r="K126" s="714"/>
      <c r="L126" s="89"/>
      <c r="M126" s="745"/>
      <c r="N126" s="748"/>
      <c r="O126" s="751"/>
      <c r="P126" s="748"/>
      <c r="Q126" s="740"/>
      <c r="R126" s="378" t="s">
        <v>101</v>
      </c>
      <c r="S126" s="379">
        <v>0</v>
      </c>
      <c r="T126" s="391"/>
      <c r="U126" s="392">
        <f t="shared" si="76"/>
        <v>11.87</v>
      </c>
      <c r="V126" s="381">
        <f t="shared" si="73"/>
        <v>0</v>
      </c>
      <c r="W126" s="742"/>
      <c r="X126" s="89"/>
      <c r="Y126" s="616"/>
      <c r="Z126" s="703"/>
      <c r="AA126" s="704"/>
      <c r="AB126" s="705"/>
      <c r="AC126" s="699"/>
      <c r="AD126" s="171" t="s">
        <v>101</v>
      </c>
      <c r="AE126" s="172">
        <v>0</v>
      </c>
      <c r="AF126" s="173"/>
      <c r="AG126" s="182">
        <f t="shared" si="77"/>
        <v>16.87</v>
      </c>
      <c r="AH126" s="175">
        <f t="shared" si="74"/>
        <v>0</v>
      </c>
      <c r="AI126" s="701"/>
    </row>
    <row r="127" spans="1:35" ht="15" customHeight="1" x14ac:dyDescent="0.15">
      <c r="A127" s="777"/>
      <c r="B127" s="614"/>
      <c r="C127" s="781"/>
      <c r="D127" s="614"/>
      <c r="E127" s="717"/>
      <c r="F127" s="350" t="s">
        <v>102</v>
      </c>
      <c r="G127" s="351">
        <v>0</v>
      </c>
      <c r="H127" s="352"/>
      <c r="I127" s="360">
        <f t="shared" si="75"/>
        <v>10.23</v>
      </c>
      <c r="J127" s="354">
        <f t="shared" si="72"/>
        <v>0</v>
      </c>
      <c r="K127" s="714"/>
      <c r="L127" s="89"/>
      <c r="M127" s="746"/>
      <c r="N127" s="749"/>
      <c r="O127" s="752"/>
      <c r="P127" s="749"/>
      <c r="Q127" s="741"/>
      <c r="R127" s="382" t="s">
        <v>102</v>
      </c>
      <c r="S127" s="383">
        <v>0</v>
      </c>
      <c r="T127" s="393"/>
      <c r="U127" s="394">
        <f t="shared" si="76"/>
        <v>11.87</v>
      </c>
      <c r="V127" s="385">
        <f t="shared" si="73"/>
        <v>0</v>
      </c>
      <c r="W127" s="742"/>
      <c r="X127" s="89"/>
      <c r="Y127" s="601"/>
      <c r="Z127" s="596"/>
      <c r="AA127" s="597"/>
      <c r="AB127" s="598"/>
      <c r="AC127" s="700"/>
      <c r="AD127" s="176" t="s">
        <v>102</v>
      </c>
      <c r="AE127" s="177">
        <v>0</v>
      </c>
      <c r="AF127" s="178"/>
      <c r="AG127" s="183">
        <f t="shared" si="77"/>
        <v>16.87</v>
      </c>
      <c r="AH127" s="101">
        <f t="shared" si="74"/>
        <v>0</v>
      </c>
      <c r="AI127" s="701"/>
    </row>
    <row r="128" spans="1:35" ht="15" customHeight="1" x14ac:dyDescent="0.15">
      <c r="A128" s="775" t="s">
        <v>74</v>
      </c>
      <c r="B128" s="612">
        <f>B123</f>
        <v>356</v>
      </c>
      <c r="C128" s="779">
        <f>C123</f>
        <v>2008.8</v>
      </c>
      <c r="D128" s="612">
        <f>D123</f>
        <v>100</v>
      </c>
      <c r="E128" s="715">
        <f>ROUNDDOWN(B128*C128*((185-D128)/100),2)</f>
        <v>607862.88</v>
      </c>
      <c r="F128" s="355" t="s">
        <v>98</v>
      </c>
      <c r="G128" s="356">
        <v>35600</v>
      </c>
      <c r="H128" s="342">
        <f>SUM(G128:G132)</f>
        <v>70632</v>
      </c>
      <c r="I128" s="357">
        <f t="shared" si="75"/>
        <v>12.34</v>
      </c>
      <c r="J128" s="358">
        <f t="shared" si="72"/>
        <v>439304</v>
      </c>
      <c r="K128" s="714">
        <f>ROUNDDOWN(E128+J128+J129+J130+J131+J132,2)</f>
        <v>1444429.76</v>
      </c>
      <c r="L128" s="89"/>
      <c r="M128" s="744" t="s">
        <v>74</v>
      </c>
      <c r="N128" s="747">
        <f>N123</f>
        <v>356</v>
      </c>
      <c r="O128" s="750">
        <f>O123</f>
        <v>2008.8</v>
      </c>
      <c r="P128" s="747">
        <f>P123</f>
        <v>100</v>
      </c>
      <c r="Q128" s="739">
        <f>ROUNDDOWN(N128*O128*((185-P128)/100),2)</f>
        <v>607862.88</v>
      </c>
      <c r="R128" s="386" t="s">
        <v>98</v>
      </c>
      <c r="S128" s="387">
        <v>35600</v>
      </c>
      <c r="T128" s="388"/>
      <c r="U128" s="389">
        <f t="shared" si="76"/>
        <v>11.87</v>
      </c>
      <c r="V128" s="390">
        <f t="shared" si="73"/>
        <v>422572</v>
      </c>
      <c r="W128" s="742">
        <f>ROUNDDOWN(Q128+V128+V129+V130+V131+V132,2)</f>
        <v>1446264.72</v>
      </c>
      <c r="X128" s="89"/>
      <c r="Y128" s="583" t="s">
        <v>74</v>
      </c>
      <c r="Z128" s="585">
        <f>Z123</f>
        <v>356</v>
      </c>
      <c r="AA128" s="587">
        <f>AA123</f>
        <v>1296</v>
      </c>
      <c r="AB128" s="589">
        <f>AB123</f>
        <v>100</v>
      </c>
      <c r="AC128" s="698">
        <f>ROUNDDOWN(Z128*AA128*((185-AB128)/100),2)</f>
        <v>392169.6</v>
      </c>
      <c r="AD128" s="179" t="s">
        <v>98</v>
      </c>
      <c r="AE128" s="180">
        <v>35600</v>
      </c>
      <c r="AF128" s="170"/>
      <c r="AG128" s="181">
        <f t="shared" si="77"/>
        <v>16.87</v>
      </c>
      <c r="AH128" s="102">
        <f t="shared" si="74"/>
        <v>600572</v>
      </c>
      <c r="AI128" s="701">
        <f>ROUNDDOWN(AC128+AH128+AH129+AH130+AH131+AH132,2)</f>
        <v>1583731.44</v>
      </c>
    </row>
    <row r="129" spans="1:35" ht="15" customHeight="1" x14ac:dyDescent="0.15">
      <c r="A129" s="776"/>
      <c r="B129" s="778"/>
      <c r="C129" s="780"/>
      <c r="D129" s="778"/>
      <c r="E129" s="716"/>
      <c r="F129" s="345" t="s">
        <v>99</v>
      </c>
      <c r="G129" s="346">
        <v>35032</v>
      </c>
      <c r="H129" s="347"/>
      <c r="I129" s="359">
        <f t="shared" si="75"/>
        <v>11.34</v>
      </c>
      <c r="J129" s="349">
        <f t="shared" si="72"/>
        <v>397262.88</v>
      </c>
      <c r="K129" s="714"/>
      <c r="L129" s="89"/>
      <c r="M129" s="745"/>
      <c r="N129" s="748"/>
      <c r="O129" s="751"/>
      <c r="P129" s="748"/>
      <c r="Q129" s="740"/>
      <c r="R129" s="378" t="s">
        <v>99</v>
      </c>
      <c r="S129" s="379">
        <v>35032</v>
      </c>
      <c r="T129" s="391"/>
      <c r="U129" s="392">
        <f t="shared" si="76"/>
        <v>11.87</v>
      </c>
      <c r="V129" s="381">
        <f t="shared" si="73"/>
        <v>415829.84</v>
      </c>
      <c r="W129" s="742"/>
      <c r="X129" s="89"/>
      <c r="Y129" s="616"/>
      <c r="Z129" s="703"/>
      <c r="AA129" s="704"/>
      <c r="AB129" s="705"/>
      <c r="AC129" s="699"/>
      <c r="AD129" s="171" t="s">
        <v>99</v>
      </c>
      <c r="AE129" s="172">
        <v>35032</v>
      </c>
      <c r="AF129" s="173"/>
      <c r="AG129" s="182">
        <f t="shared" si="77"/>
        <v>16.87</v>
      </c>
      <c r="AH129" s="175">
        <f t="shared" si="74"/>
        <v>590989.84</v>
      </c>
      <c r="AI129" s="701"/>
    </row>
    <row r="130" spans="1:35" ht="15" customHeight="1" x14ac:dyDescent="0.15">
      <c r="A130" s="776"/>
      <c r="B130" s="778"/>
      <c r="C130" s="780"/>
      <c r="D130" s="778"/>
      <c r="E130" s="716"/>
      <c r="F130" s="345" t="s">
        <v>100</v>
      </c>
      <c r="G130" s="346">
        <v>0</v>
      </c>
      <c r="H130" s="347"/>
      <c r="I130" s="359">
        <f t="shared" si="75"/>
        <v>10.700000000000001</v>
      </c>
      <c r="J130" s="349">
        <f t="shared" si="72"/>
        <v>0</v>
      </c>
      <c r="K130" s="714"/>
      <c r="L130" s="89"/>
      <c r="M130" s="745"/>
      <c r="N130" s="748"/>
      <c r="O130" s="751"/>
      <c r="P130" s="748"/>
      <c r="Q130" s="740"/>
      <c r="R130" s="378" t="s">
        <v>100</v>
      </c>
      <c r="S130" s="379">
        <v>0</v>
      </c>
      <c r="T130" s="391"/>
      <c r="U130" s="392">
        <f t="shared" si="76"/>
        <v>11.87</v>
      </c>
      <c r="V130" s="381">
        <f t="shared" si="73"/>
        <v>0</v>
      </c>
      <c r="W130" s="742"/>
      <c r="X130" s="89"/>
      <c r="Y130" s="616"/>
      <c r="Z130" s="703"/>
      <c r="AA130" s="704"/>
      <c r="AB130" s="705"/>
      <c r="AC130" s="699"/>
      <c r="AD130" s="171" t="s">
        <v>100</v>
      </c>
      <c r="AE130" s="172">
        <v>0</v>
      </c>
      <c r="AF130" s="173"/>
      <c r="AG130" s="182">
        <f t="shared" si="77"/>
        <v>16.87</v>
      </c>
      <c r="AH130" s="175">
        <f t="shared" si="74"/>
        <v>0</v>
      </c>
      <c r="AI130" s="701"/>
    </row>
    <row r="131" spans="1:35" ht="15" customHeight="1" x14ac:dyDescent="0.15">
      <c r="A131" s="776"/>
      <c r="B131" s="778"/>
      <c r="C131" s="780"/>
      <c r="D131" s="778"/>
      <c r="E131" s="716"/>
      <c r="F131" s="345" t="s">
        <v>101</v>
      </c>
      <c r="G131" s="346">
        <v>0</v>
      </c>
      <c r="H131" s="347"/>
      <c r="I131" s="359">
        <f t="shared" si="75"/>
        <v>10.35</v>
      </c>
      <c r="J131" s="349">
        <f t="shared" si="72"/>
        <v>0</v>
      </c>
      <c r="K131" s="714"/>
      <c r="L131" s="89"/>
      <c r="M131" s="745"/>
      <c r="N131" s="748"/>
      <c r="O131" s="751"/>
      <c r="P131" s="748"/>
      <c r="Q131" s="740"/>
      <c r="R131" s="378" t="s">
        <v>101</v>
      </c>
      <c r="S131" s="379">
        <v>0</v>
      </c>
      <c r="T131" s="391"/>
      <c r="U131" s="392">
        <f t="shared" si="76"/>
        <v>11.87</v>
      </c>
      <c r="V131" s="381">
        <f t="shared" si="73"/>
        <v>0</v>
      </c>
      <c r="W131" s="742"/>
      <c r="X131" s="89"/>
      <c r="Y131" s="616"/>
      <c r="Z131" s="703"/>
      <c r="AA131" s="704"/>
      <c r="AB131" s="705"/>
      <c r="AC131" s="699"/>
      <c r="AD131" s="171" t="s">
        <v>101</v>
      </c>
      <c r="AE131" s="172">
        <v>0</v>
      </c>
      <c r="AF131" s="173"/>
      <c r="AG131" s="182">
        <f t="shared" si="77"/>
        <v>16.87</v>
      </c>
      <c r="AH131" s="175">
        <f t="shared" si="74"/>
        <v>0</v>
      </c>
      <c r="AI131" s="701"/>
    </row>
    <row r="132" spans="1:35" ht="15" customHeight="1" x14ac:dyDescent="0.15">
      <c r="A132" s="777"/>
      <c r="B132" s="614"/>
      <c r="C132" s="781"/>
      <c r="D132" s="614"/>
      <c r="E132" s="717"/>
      <c r="F132" s="350" t="s">
        <v>102</v>
      </c>
      <c r="G132" s="351">
        <v>0</v>
      </c>
      <c r="H132" s="352"/>
      <c r="I132" s="360">
        <f t="shared" si="75"/>
        <v>10.23</v>
      </c>
      <c r="J132" s="354">
        <f t="shared" si="72"/>
        <v>0</v>
      </c>
      <c r="K132" s="714"/>
      <c r="L132" s="89"/>
      <c r="M132" s="746"/>
      <c r="N132" s="749"/>
      <c r="O132" s="752"/>
      <c r="P132" s="749"/>
      <c r="Q132" s="741"/>
      <c r="R132" s="382" t="s">
        <v>102</v>
      </c>
      <c r="S132" s="383">
        <v>0</v>
      </c>
      <c r="T132" s="393"/>
      <c r="U132" s="394">
        <f t="shared" si="76"/>
        <v>11.87</v>
      </c>
      <c r="V132" s="385">
        <f t="shared" si="73"/>
        <v>0</v>
      </c>
      <c r="W132" s="742"/>
      <c r="X132" s="89"/>
      <c r="Y132" s="601"/>
      <c r="Z132" s="596"/>
      <c r="AA132" s="597"/>
      <c r="AB132" s="598"/>
      <c r="AC132" s="700"/>
      <c r="AD132" s="176" t="s">
        <v>102</v>
      </c>
      <c r="AE132" s="177">
        <v>0</v>
      </c>
      <c r="AF132" s="178"/>
      <c r="AG132" s="183">
        <f t="shared" si="77"/>
        <v>16.87</v>
      </c>
      <c r="AH132" s="101">
        <f t="shared" si="74"/>
        <v>0</v>
      </c>
      <c r="AI132" s="701"/>
    </row>
    <row r="133" spans="1:35" ht="15" customHeight="1" x14ac:dyDescent="0.15">
      <c r="A133" s="775" t="s">
        <v>75</v>
      </c>
      <c r="B133" s="612">
        <f>B128</f>
        <v>356</v>
      </c>
      <c r="C133" s="779">
        <f>C128</f>
        <v>2008.8</v>
      </c>
      <c r="D133" s="612">
        <f>D128</f>
        <v>100</v>
      </c>
      <c r="E133" s="715">
        <f>ROUNDDOWN(B133*C133*((185-D133)/100),2)</f>
        <v>607862.88</v>
      </c>
      <c r="F133" s="355" t="s">
        <v>98</v>
      </c>
      <c r="G133" s="356">
        <v>35600</v>
      </c>
      <c r="H133" s="342">
        <f>SUM(G133:G137)</f>
        <v>81186</v>
      </c>
      <c r="I133" s="357">
        <f t="shared" si="75"/>
        <v>12.34</v>
      </c>
      <c r="J133" s="358">
        <f t="shared" si="72"/>
        <v>439304</v>
      </c>
      <c r="K133" s="714">
        <f>ROUNDDOWN(E133+J133+J134+J135+J136+J137,2)</f>
        <v>1557721.08</v>
      </c>
      <c r="L133" s="89"/>
      <c r="M133" s="744" t="s">
        <v>75</v>
      </c>
      <c r="N133" s="747">
        <f>N128</f>
        <v>356</v>
      </c>
      <c r="O133" s="750">
        <f>O128</f>
        <v>2008.8</v>
      </c>
      <c r="P133" s="747">
        <f>P128</f>
        <v>100</v>
      </c>
      <c r="Q133" s="739">
        <f>ROUNDDOWN(N133*O133*((185-P133)/100),2)</f>
        <v>607862.88</v>
      </c>
      <c r="R133" s="386" t="s">
        <v>98</v>
      </c>
      <c r="S133" s="387">
        <v>35600</v>
      </c>
      <c r="T133" s="388"/>
      <c r="U133" s="389">
        <f t="shared" si="76"/>
        <v>11.87</v>
      </c>
      <c r="V133" s="390">
        <f t="shared" si="73"/>
        <v>422572</v>
      </c>
      <c r="W133" s="742">
        <f>ROUNDDOWN(Q133+V133+V134+V135+V136+V137,2)</f>
        <v>1571540.7</v>
      </c>
      <c r="X133" s="89"/>
      <c r="Y133" s="583" t="s">
        <v>75</v>
      </c>
      <c r="Z133" s="585">
        <f>Z128</f>
        <v>356</v>
      </c>
      <c r="AA133" s="587">
        <f>AA128</f>
        <v>1296</v>
      </c>
      <c r="AB133" s="589">
        <f>AB128</f>
        <v>100</v>
      </c>
      <c r="AC133" s="698">
        <f>ROUNDDOWN(Z133*AA133*((185-AB133)/100),2)</f>
        <v>392169.6</v>
      </c>
      <c r="AD133" s="179" t="s">
        <v>98</v>
      </c>
      <c r="AE133" s="180">
        <v>35600</v>
      </c>
      <c r="AF133" s="170"/>
      <c r="AG133" s="181">
        <f t="shared" si="77"/>
        <v>16.87</v>
      </c>
      <c r="AH133" s="102">
        <f t="shared" si="74"/>
        <v>600572</v>
      </c>
      <c r="AI133" s="701">
        <f>ROUNDDOWN(AC133+AH133+AH134+AH135+AH136+AH137,2)</f>
        <v>1761777.42</v>
      </c>
    </row>
    <row r="134" spans="1:35" ht="15" customHeight="1" x14ac:dyDescent="0.15">
      <c r="A134" s="776"/>
      <c r="B134" s="778"/>
      <c r="C134" s="780"/>
      <c r="D134" s="778"/>
      <c r="E134" s="716"/>
      <c r="F134" s="345" t="s">
        <v>99</v>
      </c>
      <c r="G134" s="346">
        <v>35600</v>
      </c>
      <c r="H134" s="347"/>
      <c r="I134" s="359">
        <f t="shared" si="75"/>
        <v>11.34</v>
      </c>
      <c r="J134" s="349">
        <f t="shared" si="72"/>
        <v>403704</v>
      </c>
      <c r="K134" s="714"/>
      <c r="L134" s="89"/>
      <c r="M134" s="745"/>
      <c r="N134" s="748"/>
      <c r="O134" s="751"/>
      <c r="P134" s="748"/>
      <c r="Q134" s="740"/>
      <c r="R134" s="378" t="s">
        <v>99</v>
      </c>
      <c r="S134" s="379">
        <v>35600</v>
      </c>
      <c r="T134" s="391"/>
      <c r="U134" s="392">
        <f t="shared" si="76"/>
        <v>11.87</v>
      </c>
      <c r="V134" s="381">
        <f t="shared" si="73"/>
        <v>422572</v>
      </c>
      <c r="W134" s="742"/>
      <c r="X134" s="89"/>
      <c r="Y134" s="616"/>
      <c r="Z134" s="703"/>
      <c r="AA134" s="704"/>
      <c r="AB134" s="705"/>
      <c r="AC134" s="699"/>
      <c r="AD134" s="171" t="s">
        <v>99</v>
      </c>
      <c r="AE134" s="172">
        <v>35600</v>
      </c>
      <c r="AF134" s="173"/>
      <c r="AG134" s="182">
        <f t="shared" si="77"/>
        <v>16.87</v>
      </c>
      <c r="AH134" s="175">
        <f t="shared" si="74"/>
        <v>600572</v>
      </c>
      <c r="AI134" s="701"/>
    </row>
    <row r="135" spans="1:35" ht="15" customHeight="1" x14ac:dyDescent="0.15">
      <c r="A135" s="776"/>
      <c r="B135" s="778"/>
      <c r="C135" s="780"/>
      <c r="D135" s="778"/>
      <c r="E135" s="716"/>
      <c r="F135" s="345" t="s">
        <v>100</v>
      </c>
      <c r="G135" s="346">
        <v>9986</v>
      </c>
      <c r="H135" s="347"/>
      <c r="I135" s="359">
        <f t="shared" si="75"/>
        <v>10.700000000000001</v>
      </c>
      <c r="J135" s="349">
        <f t="shared" si="72"/>
        <v>106850.2</v>
      </c>
      <c r="K135" s="714"/>
      <c r="L135" s="89"/>
      <c r="M135" s="745"/>
      <c r="N135" s="748"/>
      <c r="O135" s="751"/>
      <c r="P135" s="748"/>
      <c r="Q135" s="740"/>
      <c r="R135" s="378" t="s">
        <v>100</v>
      </c>
      <c r="S135" s="379">
        <v>9986</v>
      </c>
      <c r="T135" s="391"/>
      <c r="U135" s="392">
        <f t="shared" si="76"/>
        <v>11.87</v>
      </c>
      <c r="V135" s="381">
        <f t="shared" si="73"/>
        <v>118533.82</v>
      </c>
      <c r="W135" s="742"/>
      <c r="X135" s="89"/>
      <c r="Y135" s="616"/>
      <c r="Z135" s="703"/>
      <c r="AA135" s="704"/>
      <c r="AB135" s="705"/>
      <c r="AC135" s="699"/>
      <c r="AD135" s="171" t="s">
        <v>100</v>
      </c>
      <c r="AE135" s="172">
        <v>9986</v>
      </c>
      <c r="AF135" s="173"/>
      <c r="AG135" s="182">
        <f t="shared" si="77"/>
        <v>16.87</v>
      </c>
      <c r="AH135" s="175">
        <f t="shared" si="74"/>
        <v>168463.82</v>
      </c>
      <c r="AI135" s="701"/>
    </row>
    <row r="136" spans="1:35" ht="15" customHeight="1" x14ac:dyDescent="0.15">
      <c r="A136" s="776"/>
      <c r="B136" s="778"/>
      <c r="C136" s="780"/>
      <c r="D136" s="778"/>
      <c r="E136" s="716"/>
      <c r="F136" s="345" t="s">
        <v>101</v>
      </c>
      <c r="G136" s="346">
        <v>0</v>
      </c>
      <c r="H136" s="347"/>
      <c r="I136" s="359">
        <f t="shared" si="75"/>
        <v>10.35</v>
      </c>
      <c r="J136" s="349">
        <f t="shared" si="72"/>
        <v>0</v>
      </c>
      <c r="K136" s="714"/>
      <c r="L136" s="89"/>
      <c r="M136" s="745"/>
      <c r="N136" s="748"/>
      <c r="O136" s="751"/>
      <c r="P136" s="748"/>
      <c r="Q136" s="740"/>
      <c r="R136" s="378" t="s">
        <v>101</v>
      </c>
      <c r="S136" s="379">
        <v>0</v>
      </c>
      <c r="T136" s="391"/>
      <c r="U136" s="392">
        <f t="shared" si="76"/>
        <v>11.87</v>
      </c>
      <c r="V136" s="381">
        <f t="shared" si="73"/>
        <v>0</v>
      </c>
      <c r="W136" s="742"/>
      <c r="X136" s="89"/>
      <c r="Y136" s="616"/>
      <c r="Z136" s="703"/>
      <c r="AA136" s="704"/>
      <c r="AB136" s="705"/>
      <c r="AC136" s="699"/>
      <c r="AD136" s="171" t="s">
        <v>101</v>
      </c>
      <c r="AE136" s="172">
        <v>0</v>
      </c>
      <c r="AF136" s="173"/>
      <c r="AG136" s="182">
        <f t="shared" si="77"/>
        <v>16.87</v>
      </c>
      <c r="AH136" s="175">
        <f t="shared" si="74"/>
        <v>0</v>
      </c>
      <c r="AI136" s="701"/>
    </row>
    <row r="137" spans="1:35" ht="15" customHeight="1" x14ac:dyDescent="0.15">
      <c r="A137" s="777"/>
      <c r="B137" s="614"/>
      <c r="C137" s="781"/>
      <c r="D137" s="614"/>
      <c r="E137" s="717"/>
      <c r="F137" s="350" t="s">
        <v>102</v>
      </c>
      <c r="G137" s="351">
        <v>0</v>
      </c>
      <c r="H137" s="352"/>
      <c r="I137" s="360">
        <f t="shared" si="75"/>
        <v>10.23</v>
      </c>
      <c r="J137" s="354">
        <f t="shared" si="72"/>
        <v>0</v>
      </c>
      <c r="K137" s="714"/>
      <c r="L137" s="89"/>
      <c r="M137" s="746"/>
      <c r="N137" s="749"/>
      <c r="O137" s="752"/>
      <c r="P137" s="749"/>
      <c r="Q137" s="741"/>
      <c r="R137" s="382" t="s">
        <v>102</v>
      </c>
      <c r="S137" s="383">
        <v>0</v>
      </c>
      <c r="T137" s="393"/>
      <c r="U137" s="394">
        <f t="shared" si="76"/>
        <v>11.87</v>
      </c>
      <c r="V137" s="385">
        <f t="shared" si="73"/>
        <v>0</v>
      </c>
      <c r="W137" s="742"/>
      <c r="X137" s="89"/>
      <c r="Y137" s="601"/>
      <c r="Z137" s="596"/>
      <c r="AA137" s="597"/>
      <c r="AB137" s="598"/>
      <c r="AC137" s="700"/>
      <c r="AD137" s="176" t="s">
        <v>102</v>
      </c>
      <c r="AE137" s="177">
        <v>0</v>
      </c>
      <c r="AF137" s="178"/>
      <c r="AG137" s="183">
        <f t="shared" si="77"/>
        <v>16.87</v>
      </c>
      <c r="AH137" s="101">
        <f t="shared" si="74"/>
        <v>0</v>
      </c>
      <c r="AI137" s="701"/>
    </row>
    <row r="138" spans="1:35" ht="15" customHeight="1" x14ac:dyDescent="0.15">
      <c r="A138" s="775" t="s">
        <v>76</v>
      </c>
      <c r="B138" s="612">
        <f>B133</f>
        <v>356</v>
      </c>
      <c r="C138" s="779">
        <f>C133</f>
        <v>2008.8</v>
      </c>
      <c r="D138" s="612">
        <f>D133</f>
        <v>100</v>
      </c>
      <c r="E138" s="715">
        <f>ROUNDDOWN(B138*C138*((185-D138)/100),2)</f>
        <v>607862.88</v>
      </c>
      <c r="F138" s="355" t="s">
        <v>98</v>
      </c>
      <c r="G138" s="356">
        <v>35600</v>
      </c>
      <c r="H138" s="342">
        <f>SUM(G138:G142)</f>
        <v>92316</v>
      </c>
      <c r="I138" s="357">
        <f t="shared" si="75"/>
        <v>12.34</v>
      </c>
      <c r="J138" s="358">
        <f t="shared" si="72"/>
        <v>439304</v>
      </c>
      <c r="K138" s="714">
        <f>ROUNDDOWN(E138+J138+J139+J140+J141+J142,2)</f>
        <v>1676812.08</v>
      </c>
      <c r="L138" s="89"/>
      <c r="M138" s="744" t="s">
        <v>76</v>
      </c>
      <c r="N138" s="747">
        <f>N133</f>
        <v>356</v>
      </c>
      <c r="O138" s="750">
        <f>O133</f>
        <v>2008.8</v>
      </c>
      <c r="P138" s="747">
        <f>P133</f>
        <v>100</v>
      </c>
      <c r="Q138" s="739">
        <f>ROUNDDOWN(N138*O138*((185-P138)/100),2)</f>
        <v>607862.88</v>
      </c>
      <c r="R138" s="386" t="s">
        <v>98</v>
      </c>
      <c r="S138" s="387">
        <v>35600</v>
      </c>
      <c r="T138" s="388"/>
      <c r="U138" s="389">
        <f t="shared" si="76"/>
        <v>11.87</v>
      </c>
      <c r="V138" s="390">
        <f t="shared" si="73"/>
        <v>422572</v>
      </c>
      <c r="W138" s="742">
        <f>ROUNDDOWN(Q138+V138+V139+V140+V141+V142,2)</f>
        <v>1703653.8</v>
      </c>
      <c r="X138" s="89"/>
      <c r="Y138" s="583" t="s">
        <v>76</v>
      </c>
      <c r="Z138" s="585">
        <f>Z133</f>
        <v>356</v>
      </c>
      <c r="AA138" s="587">
        <f>AA133</f>
        <v>1296</v>
      </c>
      <c r="AB138" s="589">
        <f>AB133</f>
        <v>100</v>
      </c>
      <c r="AC138" s="698">
        <f>ROUNDDOWN(Z138*AA138*((185-AB138)/100),2)</f>
        <v>392169.6</v>
      </c>
      <c r="AD138" s="179" t="s">
        <v>98</v>
      </c>
      <c r="AE138" s="180">
        <v>35600</v>
      </c>
      <c r="AF138" s="170"/>
      <c r="AG138" s="181">
        <f t="shared" si="77"/>
        <v>16.87</v>
      </c>
      <c r="AH138" s="102">
        <f t="shared" si="74"/>
        <v>600572</v>
      </c>
      <c r="AI138" s="701">
        <f>ROUNDDOWN(AC138+AH138+AH139+AH140+AH141+AH142,2)</f>
        <v>1949540.52</v>
      </c>
    </row>
    <row r="139" spans="1:35" ht="15" customHeight="1" x14ac:dyDescent="0.15">
      <c r="A139" s="776"/>
      <c r="B139" s="778"/>
      <c r="C139" s="780"/>
      <c r="D139" s="778"/>
      <c r="E139" s="716"/>
      <c r="F139" s="345" t="s">
        <v>99</v>
      </c>
      <c r="G139" s="346">
        <v>35600</v>
      </c>
      <c r="H139" s="347"/>
      <c r="I139" s="359">
        <f t="shared" si="75"/>
        <v>11.34</v>
      </c>
      <c r="J139" s="349">
        <f t="shared" si="72"/>
        <v>403704</v>
      </c>
      <c r="K139" s="714"/>
      <c r="L139" s="89"/>
      <c r="M139" s="745"/>
      <c r="N139" s="748"/>
      <c r="O139" s="751"/>
      <c r="P139" s="748"/>
      <c r="Q139" s="740"/>
      <c r="R139" s="378" t="s">
        <v>99</v>
      </c>
      <c r="S139" s="379">
        <v>35600</v>
      </c>
      <c r="T139" s="391"/>
      <c r="U139" s="392">
        <f t="shared" si="76"/>
        <v>11.87</v>
      </c>
      <c r="V139" s="381">
        <f t="shared" si="73"/>
        <v>422572</v>
      </c>
      <c r="W139" s="742"/>
      <c r="X139" s="89"/>
      <c r="Y139" s="616"/>
      <c r="Z139" s="703"/>
      <c r="AA139" s="704"/>
      <c r="AB139" s="705"/>
      <c r="AC139" s="699"/>
      <c r="AD139" s="171" t="s">
        <v>99</v>
      </c>
      <c r="AE139" s="172">
        <v>35600</v>
      </c>
      <c r="AF139" s="173"/>
      <c r="AG139" s="182">
        <f t="shared" si="77"/>
        <v>16.87</v>
      </c>
      <c r="AH139" s="175">
        <f t="shared" si="74"/>
        <v>600572</v>
      </c>
      <c r="AI139" s="701"/>
    </row>
    <row r="140" spans="1:35" ht="15" customHeight="1" x14ac:dyDescent="0.15">
      <c r="A140" s="776"/>
      <c r="B140" s="778"/>
      <c r="C140" s="780"/>
      <c r="D140" s="778"/>
      <c r="E140" s="716"/>
      <c r="F140" s="345" t="s">
        <v>100</v>
      </c>
      <c r="G140" s="346">
        <v>21116</v>
      </c>
      <c r="H140" s="347"/>
      <c r="I140" s="359">
        <f t="shared" si="75"/>
        <v>10.700000000000001</v>
      </c>
      <c r="J140" s="349">
        <f t="shared" si="72"/>
        <v>225941.2</v>
      </c>
      <c r="K140" s="714"/>
      <c r="L140" s="89"/>
      <c r="M140" s="745"/>
      <c r="N140" s="748"/>
      <c r="O140" s="751"/>
      <c r="P140" s="748"/>
      <c r="Q140" s="740"/>
      <c r="R140" s="378" t="s">
        <v>100</v>
      </c>
      <c r="S140" s="379">
        <v>21116</v>
      </c>
      <c r="T140" s="391"/>
      <c r="U140" s="392">
        <f t="shared" si="76"/>
        <v>11.87</v>
      </c>
      <c r="V140" s="381">
        <f t="shared" si="73"/>
        <v>250646.92</v>
      </c>
      <c r="W140" s="742"/>
      <c r="X140" s="89"/>
      <c r="Y140" s="616"/>
      <c r="Z140" s="703"/>
      <c r="AA140" s="704"/>
      <c r="AB140" s="705"/>
      <c r="AC140" s="699"/>
      <c r="AD140" s="171" t="s">
        <v>100</v>
      </c>
      <c r="AE140" s="172">
        <v>21116</v>
      </c>
      <c r="AF140" s="173"/>
      <c r="AG140" s="182">
        <f t="shared" si="77"/>
        <v>16.87</v>
      </c>
      <c r="AH140" s="175">
        <f t="shared" si="74"/>
        <v>356226.92</v>
      </c>
      <c r="AI140" s="701"/>
    </row>
    <row r="141" spans="1:35" ht="15" customHeight="1" x14ac:dyDescent="0.15">
      <c r="A141" s="776"/>
      <c r="B141" s="778"/>
      <c r="C141" s="780"/>
      <c r="D141" s="778"/>
      <c r="E141" s="716"/>
      <c r="F141" s="345" t="s">
        <v>101</v>
      </c>
      <c r="G141" s="346">
        <v>0</v>
      </c>
      <c r="H141" s="347"/>
      <c r="I141" s="359">
        <f t="shared" si="75"/>
        <v>10.35</v>
      </c>
      <c r="J141" s="349">
        <f t="shared" si="72"/>
        <v>0</v>
      </c>
      <c r="K141" s="714"/>
      <c r="L141" s="89"/>
      <c r="M141" s="745"/>
      <c r="N141" s="748"/>
      <c r="O141" s="751"/>
      <c r="P141" s="748"/>
      <c r="Q141" s="740"/>
      <c r="R141" s="378" t="s">
        <v>101</v>
      </c>
      <c r="S141" s="379">
        <v>0</v>
      </c>
      <c r="T141" s="391"/>
      <c r="U141" s="392">
        <f t="shared" si="76"/>
        <v>11.87</v>
      </c>
      <c r="V141" s="381">
        <f t="shared" si="73"/>
        <v>0</v>
      </c>
      <c r="W141" s="742"/>
      <c r="X141" s="89"/>
      <c r="Y141" s="616"/>
      <c r="Z141" s="703"/>
      <c r="AA141" s="704"/>
      <c r="AB141" s="705"/>
      <c r="AC141" s="699"/>
      <c r="AD141" s="171" t="s">
        <v>101</v>
      </c>
      <c r="AE141" s="172">
        <v>0</v>
      </c>
      <c r="AF141" s="173"/>
      <c r="AG141" s="182">
        <f t="shared" si="77"/>
        <v>16.87</v>
      </c>
      <c r="AH141" s="175">
        <f t="shared" si="74"/>
        <v>0</v>
      </c>
      <c r="AI141" s="701"/>
    </row>
    <row r="142" spans="1:35" ht="15" customHeight="1" x14ac:dyDescent="0.15">
      <c r="A142" s="777"/>
      <c r="B142" s="614"/>
      <c r="C142" s="781"/>
      <c r="D142" s="614"/>
      <c r="E142" s="717"/>
      <c r="F142" s="350" t="s">
        <v>102</v>
      </c>
      <c r="G142" s="351">
        <v>0</v>
      </c>
      <c r="H142" s="352"/>
      <c r="I142" s="360">
        <f t="shared" si="75"/>
        <v>10.23</v>
      </c>
      <c r="J142" s="354">
        <f t="shared" si="72"/>
        <v>0</v>
      </c>
      <c r="K142" s="714"/>
      <c r="L142" s="89"/>
      <c r="M142" s="746"/>
      <c r="N142" s="749"/>
      <c r="O142" s="752"/>
      <c r="P142" s="749"/>
      <c r="Q142" s="741"/>
      <c r="R142" s="382" t="s">
        <v>102</v>
      </c>
      <c r="S142" s="383">
        <v>0</v>
      </c>
      <c r="T142" s="393"/>
      <c r="U142" s="394">
        <f t="shared" si="76"/>
        <v>11.87</v>
      </c>
      <c r="V142" s="385">
        <f t="shared" si="73"/>
        <v>0</v>
      </c>
      <c r="W142" s="742"/>
      <c r="X142" s="89"/>
      <c r="Y142" s="601"/>
      <c r="Z142" s="596"/>
      <c r="AA142" s="597"/>
      <c r="AB142" s="598"/>
      <c r="AC142" s="700"/>
      <c r="AD142" s="176" t="s">
        <v>102</v>
      </c>
      <c r="AE142" s="177">
        <v>0</v>
      </c>
      <c r="AF142" s="178"/>
      <c r="AG142" s="183">
        <f t="shared" si="77"/>
        <v>16.87</v>
      </c>
      <c r="AH142" s="101">
        <f t="shared" si="74"/>
        <v>0</v>
      </c>
      <c r="AI142" s="701"/>
    </row>
    <row r="143" spans="1:35" ht="15" customHeight="1" x14ac:dyDescent="0.15">
      <c r="A143" s="775" t="s">
        <v>77</v>
      </c>
      <c r="B143" s="612">
        <f>B138</f>
        <v>356</v>
      </c>
      <c r="C143" s="779">
        <f>C138</f>
        <v>2008.8</v>
      </c>
      <c r="D143" s="612">
        <f>D138</f>
        <v>100</v>
      </c>
      <c r="E143" s="613">
        <f>ROUNDDOWN(B143*C143*((185-D143)/100),2)</f>
        <v>607862.88</v>
      </c>
      <c r="F143" s="355" t="s">
        <v>103</v>
      </c>
      <c r="G143" s="356">
        <v>35600</v>
      </c>
      <c r="H143" s="342">
        <f>SUM(G143:G147)</f>
        <v>106020</v>
      </c>
      <c r="I143" s="361">
        <f>13.25+0.06</f>
        <v>13.31</v>
      </c>
      <c r="J143" s="358">
        <f t="shared" si="72"/>
        <v>473836</v>
      </c>
      <c r="K143" s="714">
        <f>ROUNDDOWN(E143+J143+J144+J145+J146+J147,2)</f>
        <v>1916804.88</v>
      </c>
      <c r="L143" s="89"/>
      <c r="M143" s="744" t="s">
        <v>77</v>
      </c>
      <c r="N143" s="747">
        <f>N138</f>
        <v>356</v>
      </c>
      <c r="O143" s="750">
        <f>O138</f>
        <v>2008.8</v>
      </c>
      <c r="P143" s="747">
        <f>P138</f>
        <v>100</v>
      </c>
      <c r="Q143" s="753">
        <f>ROUNDDOWN(N143*O143*((185-P143)/100),2)</f>
        <v>607862.88</v>
      </c>
      <c r="R143" s="386" t="s">
        <v>103</v>
      </c>
      <c r="S143" s="387">
        <v>35600</v>
      </c>
      <c r="T143" s="387"/>
      <c r="U143" s="395">
        <v>12.78</v>
      </c>
      <c r="V143" s="390">
        <f t="shared" si="73"/>
        <v>454968</v>
      </c>
      <c r="W143" s="742">
        <f>ROUNDDOWN(Q143+V143+V144+V145+V146+V147,2)</f>
        <v>1962798.48</v>
      </c>
      <c r="X143" s="89"/>
      <c r="Y143" s="583" t="s">
        <v>77</v>
      </c>
      <c r="Z143" s="585">
        <f>Z138</f>
        <v>356</v>
      </c>
      <c r="AA143" s="587">
        <f>AA138</f>
        <v>1296</v>
      </c>
      <c r="AB143" s="589">
        <f>AB138</f>
        <v>100</v>
      </c>
      <c r="AC143" s="591">
        <f>ROUNDDOWN(Z143*AA143*((185-AB143)/100),2)</f>
        <v>392169.6</v>
      </c>
      <c r="AD143" s="179" t="s">
        <v>103</v>
      </c>
      <c r="AE143" s="180">
        <v>35600</v>
      </c>
      <c r="AF143" s="180"/>
      <c r="AG143" s="130">
        <v>18.29</v>
      </c>
      <c r="AH143" s="102">
        <f t="shared" si="74"/>
        <v>651124</v>
      </c>
      <c r="AI143" s="701">
        <f>ROUNDDOWN(AC143+AH143+AH144+AH145+AH146+AH147,2)</f>
        <v>2331275.4</v>
      </c>
    </row>
    <row r="144" spans="1:35" ht="15" customHeight="1" x14ac:dyDescent="0.15">
      <c r="A144" s="776"/>
      <c r="B144" s="778"/>
      <c r="C144" s="780"/>
      <c r="D144" s="778"/>
      <c r="E144" s="784"/>
      <c r="F144" s="345" t="s">
        <v>104</v>
      </c>
      <c r="G144" s="346">
        <v>35600</v>
      </c>
      <c r="H144" s="347"/>
      <c r="I144" s="348">
        <f>12.15+0.06</f>
        <v>12.21</v>
      </c>
      <c r="J144" s="349">
        <f t="shared" si="72"/>
        <v>434676</v>
      </c>
      <c r="K144" s="714"/>
      <c r="L144" s="89"/>
      <c r="M144" s="745"/>
      <c r="N144" s="748"/>
      <c r="O144" s="751"/>
      <c r="P144" s="748"/>
      <c r="Q144" s="754"/>
      <c r="R144" s="378" t="s">
        <v>104</v>
      </c>
      <c r="S144" s="379">
        <v>35600</v>
      </c>
      <c r="T144" s="379"/>
      <c r="U144" s="380">
        <v>12.78</v>
      </c>
      <c r="V144" s="381">
        <f t="shared" si="73"/>
        <v>454968</v>
      </c>
      <c r="W144" s="742"/>
      <c r="X144" s="89"/>
      <c r="Y144" s="616"/>
      <c r="Z144" s="703"/>
      <c r="AA144" s="704"/>
      <c r="AB144" s="705"/>
      <c r="AC144" s="706"/>
      <c r="AD144" s="171" t="s">
        <v>104</v>
      </c>
      <c r="AE144" s="172">
        <v>35600</v>
      </c>
      <c r="AF144" s="172"/>
      <c r="AG144" s="174">
        <v>18.29</v>
      </c>
      <c r="AH144" s="175">
        <f t="shared" si="74"/>
        <v>651124</v>
      </c>
      <c r="AI144" s="701"/>
    </row>
    <row r="145" spans="1:35" ht="15" customHeight="1" x14ac:dyDescent="0.15">
      <c r="A145" s="776"/>
      <c r="B145" s="778"/>
      <c r="C145" s="780"/>
      <c r="D145" s="778"/>
      <c r="E145" s="784"/>
      <c r="F145" s="345" t="s">
        <v>105</v>
      </c>
      <c r="G145" s="346">
        <v>34820</v>
      </c>
      <c r="H145" s="347"/>
      <c r="I145" s="348">
        <f>11.44+0.06</f>
        <v>11.5</v>
      </c>
      <c r="J145" s="349">
        <f t="shared" ref="J145:J172" si="78">ROUNDDOWN(G145*I145,2)</f>
        <v>400430</v>
      </c>
      <c r="K145" s="714"/>
      <c r="L145" s="89"/>
      <c r="M145" s="745"/>
      <c r="N145" s="748"/>
      <c r="O145" s="751"/>
      <c r="P145" s="748"/>
      <c r="Q145" s="754"/>
      <c r="R145" s="378" t="s">
        <v>105</v>
      </c>
      <c r="S145" s="379">
        <v>34820</v>
      </c>
      <c r="T145" s="379"/>
      <c r="U145" s="380">
        <v>12.78</v>
      </c>
      <c r="V145" s="381">
        <f t="shared" ref="V145:V172" si="79">ROUNDDOWN(S145*U145,2)</f>
        <v>444999.6</v>
      </c>
      <c r="W145" s="742"/>
      <c r="X145" s="89"/>
      <c r="Y145" s="616"/>
      <c r="Z145" s="703"/>
      <c r="AA145" s="704"/>
      <c r="AB145" s="705"/>
      <c r="AC145" s="706"/>
      <c r="AD145" s="171" t="s">
        <v>105</v>
      </c>
      <c r="AE145" s="172">
        <v>34820</v>
      </c>
      <c r="AF145" s="172"/>
      <c r="AG145" s="174">
        <v>18.29</v>
      </c>
      <c r="AH145" s="175">
        <f t="shared" ref="AH145:AH172" si="80">ROUNDDOWN(AE145*AG145,2)</f>
        <v>636857.80000000005</v>
      </c>
      <c r="AI145" s="701"/>
    </row>
    <row r="146" spans="1:35" ht="15" customHeight="1" x14ac:dyDescent="0.15">
      <c r="A146" s="776"/>
      <c r="B146" s="778"/>
      <c r="C146" s="780"/>
      <c r="D146" s="778"/>
      <c r="E146" s="784"/>
      <c r="F146" s="345" t="s">
        <v>106</v>
      </c>
      <c r="G146" s="346">
        <v>0</v>
      </c>
      <c r="H146" s="347"/>
      <c r="I146" s="348">
        <f>11.05+0.06</f>
        <v>11.110000000000001</v>
      </c>
      <c r="J146" s="349">
        <f t="shared" si="78"/>
        <v>0</v>
      </c>
      <c r="K146" s="714"/>
      <c r="L146" s="89"/>
      <c r="M146" s="745"/>
      <c r="N146" s="748"/>
      <c r="O146" s="751"/>
      <c r="P146" s="748"/>
      <c r="Q146" s="754"/>
      <c r="R146" s="378" t="s">
        <v>106</v>
      </c>
      <c r="S146" s="379">
        <v>0</v>
      </c>
      <c r="T146" s="379"/>
      <c r="U146" s="380">
        <v>12.78</v>
      </c>
      <c r="V146" s="381">
        <f t="shared" si="79"/>
        <v>0</v>
      </c>
      <c r="W146" s="742"/>
      <c r="X146" s="89"/>
      <c r="Y146" s="616"/>
      <c r="Z146" s="703"/>
      <c r="AA146" s="704"/>
      <c r="AB146" s="705"/>
      <c r="AC146" s="706"/>
      <c r="AD146" s="171" t="s">
        <v>106</v>
      </c>
      <c r="AE146" s="172">
        <v>0</v>
      </c>
      <c r="AF146" s="172"/>
      <c r="AG146" s="174">
        <v>18.29</v>
      </c>
      <c r="AH146" s="175">
        <f t="shared" si="80"/>
        <v>0</v>
      </c>
      <c r="AI146" s="701"/>
    </row>
    <row r="147" spans="1:35" ht="15" customHeight="1" x14ac:dyDescent="0.15">
      <c r="A147" s="777"/>
      <c r="B147" s="614"/>
      <c r="C147" s="781"/>
      <c r="D147" s="614"/>
      <c r="E147" s="615"/>
      <c r="F147" s="350" t="s">
        <v>107</v>
      </c>
      <c r="G147" s="351">
        <v>0</v>
      </c>
      <c r="H147" s="352"/>
      <c r="I147" s="353">
        <f>10.93+0.06</f>
        <v>10.99</v>
      </c>
      <c r="J147" s="354">
        <f t="shared" si="78"/>
        <v>0</v>
      </c>
      <c r="K147" s="714"/>
      <c r="L147" s="89"/>
      <c r="M147" s="746"/>
      <c r="N147" s="749"/>
      <c r="O147" s="752"/>
      <c r="P147" s="749"/>
      <c r="Q147" s="755"/>
      <c r="R147" s="382" t="s">
        <v>107</v>
      </c>
      <c r="S147" s="383">
        <v>0</v>
      </c>
      <c r="T147" s="383"/>
      <c r="U147" s="384">
        <v>12.78</v>
      </c>
      <c r="V147" s="385">
        <f t="shared" si="79"/>
        <v>0</v>
      </c>
      <c r="W147" s="742"/>
      <c r="X147" s="89"/>
      <c r="Y147" s="601"/>
      <c r="Z147" s="596"/>
      <c r="AA147" s="597"/>
      <c r="AB147" s="598"/>
      <c r="AC147" s="599"/>
      <c r="AD147" s="176" t="s">
        <v>107</v>
      </c>
      <c r="AE147" s="177">
        <v>0</v>
      </c>
      <c r="AF147" s="177"/>
      <c r="AG147" s="129">
        <v>18.29</v>
      </c>
      <c r="AH147" s="101">
        <f t="shared" si="80"/>
        <v>0</v>
      </c>
      <c r="AI147" s="701"/>
    </row>
    <row r="148" spans="1:35" ht="15" customHeight="1" x14ac:dyDescent="0.15">
      <c r="A148" s="775" t="s">
        <v>78</v>
      </c>
      <c r="B148" s="612">
        <f>B143</f>
        <v>356</v>
      </c>
      <c r="C148" s="779">
        <f>C143</f>
        <v>2008.8</v>
      </c>
      <c r="D148" s="612">
        <f>D143</f>
        <v>100</v>
      </c>
      <c r="E148" s="613">
        <f>ROUNDDOWN(B148*C148*((185-D148)/100),2)</f>
        <v>607862.88</v>
      </c>
      <c r="F148" s="355" t="s">
        <v>103</v>
      </c>
      <c r="G148" s="356">
        <v>35600</v>
      </c>
      <c r="H148" s="342">
        <f>SUM(G148:G152)</f>
        <v>102234</v>
      </c>
      <c r="I148" s="357">
        <f t="shared" ref="I148:I157" si="81">I143</f>
        <v>13.31</v>
      </c>
      <c r="J148" s="358">
        <f t="shared" si="78"/>
        <v>473836</v>
      </c>
      <c r="K148" s="714">
        <f>ROUNDDOWN(E148+J148+J149+J150+J151+J152,2)</f>
        <v>1873265.88</v>
      </c>
      <c r="L148" s="89"/>
      <c r="M148" s="744" t="s">
        <v>78</v>
      </c>
      <c r="N148" s="747">
        <f>N143</f>
        <v>356</v>
      </c>
      <c r="O148" s="750">
        <f>O143</f>
        <v>2008.8</v>
      </c>
      <c r="P148" s="747">
        <f>P143</f>
        <v>100</v>
      </c>
      <c r="Q148" s="753">
        <f>ROUNDDOWN(N148*O148*((185-P148)/100),2)</f>
        <v>607862.88</v>
      </c>
      <c r="R148" s="386" t="s">
        <v>103</v>
      </c>
      <c r="S148" s="387">
        <v>35600</v>
      </c>
      <c r="T148" s="388"/>
      <c r="U148" s="389">
        <f t="shared" ref="U148:U157" si="82">U143</f>
        <v>12.78</v>
      </c>
      <c r="V148" s="390">
        <f t="shared" si="79"/>
        <v>454968</v>
      </c>
      <c r="W148" s="742">
        <f>ROUNDDOWN(Q148+V148+V149+V150+V151+V152,2)</f>
        <v>1914413.4</v>
      </c>
      <c r="X148" s="89"/>
      <c r="Y148" s="583" t="s">
        <v>78</v>
      </c>
      <c r="Z148" s="585">
        <f>Z143</f>
        <v>356</v>
      </c>
      <c r="AA148" s="587">
        <f>AA143</f>
        <v>1296</v>
      </c>
      <c r="AB148" s="589">
        <f>AB143</f>
        <v>100</v>
      </c>
      <c r="AC148" s="591">
        <f>ROUNDDOWN(Z148*AA148*((185-AB148)/100),2)</f>
        <v>392169.6</v>
      </c>
      <c r="AD148" s="179" t="s">
        <v>103</v>
      </c>
      <c r="AE148" s="180">
        <v>35600</v>
      </c>
      <c r="AF148" s="170"/>
      <c r="AG148" s="181">
        <f t="shared" ref="AG148:AG157" si="83">AG143</f>
        <v>18.29</v>
      </c>
      <c r="AH148" s="102">
        <f t="shared" si="80"/>
        <v>651124</v>
      </c>
      <c r="AI148" s="701">
        <f>ROUNDDOWN(AC148+AH148+AH149+AH150+AH151+AH152,2)</f>
        <v>2262029.46</v>
      </c>
    </row>
    <row r="149" spans="1:35" ht="15" customHeight="1" x14ac:dyDescent="0.15">
      <c r="A149" s="776"/>
      <c r="B149" s="778"/>
      <c r="C149" s="780"/>
      <c r="D149" s="778"/>
      <c r="E149" s="784"/>
      <c r="F149" s="345" t="s">
        <v>104</v>
      </c>
      <c r="G149" s="346">
        <v>35600</v>
      </c>
      <c r="H149" s="347"/>
      <c r="I149" s="359">
        <f t="shared" si="81"/>
        <v>12.21</v>
      </c>
      <c r="J149" s="349">
        <f t="shared" si="78"/>
        <v>434676</v>
      </c>
      <c r="K149" s="714"/>
      <c r="L149" s="89"/>
      <c r="M149" s="745"/>
      <c r="N149" s="748"/>
      <c r="O149" s="751"/>
      <c r="P149" s="748"/>
      <c r="Q149" s="754"/>
      <c r="R149" s="378" t="s">
        <v>104</v>
      </c>
      <c r="S149" s="379">
        <v>35600</v>
      </c>
      <c r="T149" s="391"/>
      <c r="U149" s="392">
        <f t="shared" si="82"/>
        <v>12.78</v>
      </c>
      <c r="V149" s="381">
        <f t="shared" si="79"/>
        <v>454968</v>
      </c>
      <c r="W149" s="742"/>
      <c r="X149" s="89"/>
      <c r="Y149" s="616"/>
      <c r="Z149" s="703"/>
      <c r="AA149" s="704"/>
      <c r="AB149" s="705"/>
      <c r="AC149" s="706"/>
      <c r="AD149" s="171" t="s">
        <v>104</v>
      </c>
      <c r="AE149" s="172">
        <v>35600</v>
      </c>
      <c r="AF149" s="173"/>
      <c r="AG149" s="182">
        <f t="shared" si="83"/>
        <v>18.29</v>
      </c>
      <c r="AH149" s="175">
        <f t="shared" si="80"/>
        <v>651124</v>
      </c>
      <c r="AI149" s="701"/>
    </row>
    <row r="150" spans="1:35" ht="15" customHeight="1" x14ac:dyDescent="0.15">
      <c r="A150" s="776"/>
      <c r="B150" s="778"/>
      <c r="C150" s="780"/>
      <c r="D150" s="778"/>
      <c r="E150" s="784"/>
      <c r="F150" s="345" t="s">
        <v>105</v>
      </c>
      <c r="G150" s="346">
        <v>31034</v>
      </c>
      <c r="H150" s="347"/>
      <c r="I150" s="359">
        <f t="shared" si="81"/>
        <v>11.5</v>
      </c>
      <c r="J150" s="349">
        <f t="shared" si="78"/>
        <v>356891</v>
      </c>
      <c r="K150" s="714"/>
      <c r="L150" s="89"/>
      <c r="M150" s="745"/>
      <c r="N150" s="748"/>
      <c r="O150" s="751"/>
      <c r="P150" s="748"/>
      <c r="Q150" s="754"/>
      <c r="R150" s="378" t="s">
        <v>105</v>
      </c>
      <c r="S150" s="379">
        <v>31034</v>
      </c>
      <c r="T150" s="391"/>
      <c r="U150" s="392">
        <f t="shared" si="82"/>
        <v>12.78</v>
      </c>
      <c r="V150" s="381">
        <f t="shared" si="79"/>
        <v>396614.52</v>
      </c>
      <c r="W150" s="742"/>
      <c r="X150" s="89"/>
      <c r="Y150" s="616"/>
      <c r="Z150" s="703"/>
      <c r="AA150" s="704"/>
      <c r="AB150" s="705"/>
      <c r="AC150" s="706"/>
      <c r="AD150" s="171" t="s">
        <v>105</v>
      </c>
      <c r="AE150" s="172">
        <v>31034</v>
      </c>
      <c r="AF150" s="173"/>
      <c r="AG150" s="182">
        <f t="shared" si="83"/>
        <v>18.29</v>
      </c>
      <c r="AH150" s="175">
        <f t="shared" si="80"/>
        <v>567611.86</v>
      </c>
      <c r="AI150" s="701"/>
    </row>
    <row r="151" spans="1:35" ht="15" customHeight="1" x14ac:dyDescent="0.15">
      <c r="A151" s="776"/>
      <c r="B151" s="778"/>
      <c r="C151" s="780"/>
      <c r="D151" s="778"/>
      <c r="E151" s="784"/>
      <c r="F151" s="345" t="s">
        <v>106</v>
      </c>
      <c r="G151" s="346">
        <v>0</v>
      </c>
      <c r="H151" s="347"/>
      <c r="I151" s="359">
        <f t="shared" si="81"/>
        <v>11.110000000000001</v>
      </c>
      <c r="J151" s="349">
        <f t="shared" si="78"/>
        <v>0</v>
      </c>
      <c r="K151" s="714"/>
      <c r="L151" s="89"/>
      <c r="M151" s="745"/>
      <c r="N151" s="748"/>
      <c r="O151" s="751"/>
      <c r="P151" s="748"/>
      <c r="Q151" s="754"/>
      <c r="R151" s="378" t="s">
        <v>106</v>
      </c>
      <c r="S151" s="379">
        <v>0</v>
      </c>
      <c r="T151" s="391"/>
      <c r="U151" s="392">
        <f t="shared" si="82"/>
        <v>12.78</v>
      </c>
      <c r="V151" s="381">
        <f t="shared" si="79"/>
        <v>0</v>
      </c>
      <c r="W151" s="742"/>
      <c r="X151" s="89"/>
      <c r="Y151" s="616"/>
      <c r="Z151" s="703"/>
      <c r="AA151" s="704"/>
      <c r="AB151" s="705"/>
      <c r="AC151" s="706"/>
      <c r="AD151" s="171" t="s">
        <v>106</v>
      </c>
      <c r="AE151" s="172">
        <v>0</v>
      </c>
      <c r="AF151" s="173"/>
      <c r="AG151" s="182">
        <f t="shared" si="83"/>
        <v>18.29</v>
      </c>
      <c r="AH151" s="175">
        <f t="shared" si="80"/>
        <v>0</v>
      </c>
      <c r="AI151" s="701"/>
    </row>
    <row r="152" spans="1:35" ht="15" customHeight="1" x14ac:dyDescent="0.15">
      <c r="A152" s="777"/>
      <c r="B152" s="614"/>
      <c r="C152" s="781"/>
      <c r="D152" s="614"/>
      <c r="E152" s="615"/>
      <c r="F152" s="350" t="s">
        <v>107</v>
      </c>
      <c r="G152" s="351">
        <v>0</v>
      </c>
      <c r="H152" s="352"/>
      <c r="I152" s="360">
        <f t="shared" si="81"/>
        <v>10.99</v>
      </c>
      <c r="J152" s="354">
        <f t="shared" si="78"/>
        <v>0</v>
      </c>
      <c r="K152" s="714"/>
      <c r="L152" s="89"/>
      <c r="M152" s="746"/>
      <c r="N152" s="749"/>
      <c r="O152" s="752"/>
      <c r="P152" s="749"/>
      <c r="Q152" s="755"/>
      <c r="R152" s="382" t="s">
        <v>107</v>
      </c>
      <c r="S152" s="383">
        <v>0</v>
      </c>
      <c r="T152" s="393"/>
      <c r="U152" s="394">
        <f t="shared" si="82"/>
        <v>12.78</v>
      </c>
      <c r="V152" s="385">
        <f t="shared" si="79"/>
        <v>0</v>
      </c>
      <c r="W152" s="742"/>
      <c r="X152" s="89"/>
      <c r="Y152" s="601"/>
      <c r="Z152" s="596"/>
      <c r="AA152" s="597"/>
      <c r="AB152" s="598"/>
      <c r="AC152" s="599"/>
      <c r="AD152" s="176" t="s">
        <v>107</v>
      </c>
      <c r="AE152" s="177">
        <v>0</v>
      </c>
      <c r="AF152" s="178"/>
      <c r="AG152" s="183">
        <f t="shared" si="83"/>
        <v>18.29</v>
      </c>
      <c r="AH152" s="101">
        <f t="shared" si="80"/>
        <v>0</v>
      </c>
      <c r="AI152" s="701"/>
    </row>
    <row r="153" spans="1:35" ht="15" customHeight="1" x14ac:dyDescent="0.15">
      <c r="A153" s="775" t="s">
        <v>79</v>
      </c>
      <c r="B153" s="612">
        <f>B148</f>
        <v>356</v>
      </c>
      <c r="C153" s="779">
        <f>C148</f>
        <v>2008.8</v>
      </c>
      <c r="D153" s="612">
        <f>D148</f>
        <v>100</v>
      </c>
      <c r="E153" s="613">
        <f>ROUNDDOWN(B153*C153*((185-D153)/100),2)</f>
        <v>607862.88</v>
      </c>
      <c r="F153" s="355" t="s">
        <v>103</v>
      </c>
      <c r="G153" s="356">
        <v>35600</v>
      </c>
      <c r="H153" s="342">
        <f>SUM(G153:G157)</f>
        <v>94188</v>
      </c>
      <c r="I153" s="357">
        <f t="shared" si="81"/>
        <v>13.31</v>
      </c>
      <c r="J153" s="358">
        <f t="shared" si="78"/>
        <v>473836</v>
      </c>
      <c r="K153" s="714">
        <f>ROUNDDOWN(E153+J153+J154+J155+J156+J157,2)</f>
        <v>1780736.88</v>
      </c>
      <c r="L153" s="89"/>
      <c r="M153" s="744" t="s">
        <v>79</v>
      </c>
      <c r="N153" s="747">
        <f>N148</f>
        <v>356</v>
      </c>
      <c r="O153" s="750">
        <f>O148</f>
        <v>2008.8</v>
      </c>
      <c r="P153" s="747">
        <f>P148</f>
        <v>100</v>
      </c>
      <c r="Q153" s="753">
        <f>ROUNDDOWN(N153*O153*((185-P153)/100),2)</f>
        <v>607862.88</v>
      </c>
      <c r="R153" s="386" t="s">
        <v>103</v>
      </c>
      <c r="S153" s="387">
        <v>35600</v>
      </c>
      <c r="T153" s="388"/>
      <c r="U153" s="389">
        <f t="shared" si="82"/>
        <v>12.78</v>
      </c>
      <c r="V153" s="390">
        <f t="shared" si="79"/>
        <v>454968</v>
      </c>
      <c r="W153" s="742">
        <f>ROUNDDOWN(Q153+V153+V154+V155+V156+V157,2)</f>
        <v>1811585.52</v>
      </c>
      <c r="X153" s="89"/>
      <c r="Y153" s="583" t="s">
        <v>79</v>
      </c>
      <c r="Z153" s="585">
        <f>Z148</f>
        <v>356</v>
      </c>
      <c r="AA153" s="587">
        <f>AA148</f>
        <v>1296</v>
      </c>
      <c r="AB153" s="589">
        <f>AB148</f>
        <v>100</v>
      </c>
      <c r="AC153" s="591">
        <f>ROUNDDOWN(Z153*AA153*((185-AB153)/100),2)</f>
        <v>392169.6</v>
      </c>
      <c r="AD153" s="179" t="s">
        <v>103</v>
      </c>
      <c r="AE153" s="180">
        <v>35600</v>
      </c>
      <c r="AF153" s="170"/>
      <c r="AG153" s="181">
        <f t="shared" si="83"/>
        <v>18.29</v>
      </c>
      <c r="AH153" s="102">
        <f t="shared" si="80"/>
        <v>651124</v>
      </c>
      <c r="AI153" s="701">
        <f>ROUNDDOWN(AC153+AH153+AH154+AH155+AH156+AH157,2)</f>
        <v>2114868.12</v>
      </c>
    </row>
    <row r="154" spans="1:35" ht="15" customHeight="1" x14ac:dyDescent="0.15">
      <c r="A154" s="776"/>
      <c r="B154" s="778"/>
      <c r="C154" s="780"/>
      <c r="D154" s="778"/>
      <c r="E154" s="784"/>
      <c r="F154" s="345" t="s">
        <v>104</v>
      </c>
      <c r="G154" s="346">
        <v>35600</v>
      </c>
      <c r="H154" s="347"/>
      <c r="I154" s="359">
        <f t="shared" si="81"/>
        <v>12.21</v>
      </c>
      <c r="J154" s="349">
        <f t="shared" si="78"/>
        <v>434676</v>
      </c>
      <c r="K154" s="714"/>
      <c r="L154" s="89"/>
      <c r="M154" s="745"/>
      <c r="N154" s="748"/>
      <c r="O154" s="751"/>
      <c r="P154" s="748"/>
      <c r="Q154" s="754"/>
      <c r="R154" s="378" t="s">
        <v>104</v>
      </c>
      <c r="S154" s="379">
        <v>35600</v>
      </c>
      <c r="T154" s="391"/>
      <c r="U154" s="392">
        <f t="shared" si="82"/>
        <v>12.78</v>
      </c>
      <c r="V154" s="381">
        <f t="shared" si="79"/>
        <v>454968</v>
      </c>
      <c r="W154" s="742"/>
      <c r="X154" s="89"/>
      <c r="Y154" s="616"/>
      <c r="Z154" s="703"/>
      <c r="AA154" s="704"/>
      <c r="AB154" s="705"/>
      <c r="AC154" s="706"/>
      <c r="AD154" s="171" t="s">
        <v>104</v>
      </c>
      <c r="AE154" s="172">
        <v>35600</v>
      </c>
      <c r="AF154" s="173"/>
      <c r="AG154" s="182">
        <f t="shared" si="83"/>
        <v>18.29</v>
      </c>
      <c r="AH154" s="175">
        <f t="shared" si="80"/>
        <v>651124</v>
      </c>
      <c r="AI154" s="701"/>
    </row>
    <row r="155" spans="1:35" ht="15" customHeight="1" x14ac:dyDescent="0.15">
      <c r="A155" s="776"/>
      <c r="B155" s="778"/>
      <c r="C155" s="780"/>
      <c r="D155" s="778"/>
      <c r="E155" s="784"/>
      <c r="F155" s="345" t="s">
        <v>105</v>
      </c>
      <c r="G155" s="346">
        <v>22988</v>
      </c>
      <c r="H155" s="347"/>
      <c r="I155" s="359">
        <f t="shared" si="81"/>
        <v>11.5</v>
      </c>
      <c r="J155" s="349">
        <f t="shared" si="78"/>
        <v>264362</v>
      </c>
      <c r="K155" s="714"/>
      <c r="L155" s="89"/>
      <c r="M155" s="745"/>
      <c r="N155" s="748"/>
      <c r="O155" s="751"/>
      <c r="P155" s="748"/>
      <c r="Q155" s="754"/>
      <c r="R155" s="378" t="s">
        <v>105</v>
      </c>
      <c r="S155" s="379">
        <v>22988</v>
      </c>
      <c r="T155" s="391"/>
      <c r="U155" s="392">
        <f t="shared" si="82"/>
        <v>12.78</v>
      </c>
      <c r="V155" s="381">
        <f t="shared" si="79"/>
        <v>293786.64</v>
      </c>
      <c r="W155" s="742"/>
      <c r="X155" s="89"/>
      <c r="Y155" s="616"/>
      <c r="Z155" s="703"/>
      <c r="AA155" s="704"/>
      <c r="AB155" s="705"/>
      <c r="AC155" s="706"/>
      <c r="AD155" s="171" t="s">
        <v>105</v>
      </c>
      <c r="AE155" s="172">
        <v>22988</v>
      </c>
      <c r="AF155" s="173"/>
      <c r="AG155" s="182">
        <f t="shared" si="83"/>
        <v>18.29</v>
      </c>
      <c r="AH155" s="175">
        <f t="shared" si="80"/>
        <v>420450.52</v>
      </c>
      <c r="AI155" s="701"/>
    </row>
    <row r="156" spans="1:35" ht="15" customHeight="1" x14ac:dyDescent="0.15">
      <c r="A156" s="776"/>
      <c r="B156" s="778"/>
      <c r="C156" s="780"/>
      <c r="D156" s="778"/>
      <c r="E156" s="784"/>
      <c r="F156" s="345" t="s">
        <v>106</v>
      </c>
      <c r="G156" s="346">
        <v>0</v>
      </c>
      <c r="H156" s="347"/>
      <c r="I156" s="359">
        <f t="shared" si="81"/>
        <v>11.110000000000001</v>
      </c>
      <c r="J156" s="349">
        <f t="shared" si="78"/>
        <v>0</v>
      </c>
      <c r="K156" s="714"/>
      <c r="L156" s="89"/>
      <c r="M156" s="745"/>
      <c r="N156" s="748"/>
      <c r="O156" s="751"/>
      <c r="P156" s="748"/>
      <c r="Q156" s="754"/>
      <c r="R156" s="378" t="s">
        <v>106</v>
      </c>
      <c r="S156" s="379">
        <v>0</v>
      </c>
      <c r="T156" s="391"/>
      <c r="U156" s="392">
        <f t="shared" si="82"/>
        <v>12.78</v>
      </c>
      <c r="V156" s="381">
        <f t="shared" si="79"/>
        <v>0</v>
      </c>
      <c r="W156" s="742"/>
      <c r="X156" s="89"/>
      <c r="Y156" s="616"/>
      <c r="Z156" s="703"/>
      <c r="AA156" s="704"/>
      <c r="AB156" s="705"/>
      <c r="AC156" s="706"/>
      <c r="AD156" s="171" t="s">
        <v>106</v>
      </c>
      <c r="AE156" s="172">
        <v>0</v>
      </c>
      <c r="AF156" s="173"/>
      <c r="AG156" s="182">
        <f t="shared" si="83"/>
        <v>18.29</v>
      </c>
      <c r="AH156" s="175">
        <f t="shared" si="80"/>
        <v>0</v>
      </c>
      <c r="AI156" s="701"/>
    </row>
    <row r="157" spans="1:35" ht="15" customHeight="1" x14ac:dyDescent="0.15">
      <c r="A157" s="777"/>
      <c r="B157" s="614"/>
      <c r="C157" s="781"/>
      <c r="D157" s="614"/>
      <c r="E157" s="615"/>
      <c r="F157" s="350" t="s">
        <v>107</v>
      </c>
      <c r="G157" s="351">
        <v>0</v>
      </c>
      <c r="H157" s="352"/>
      <c r="I157" s="360">
        <f t="shared" si="81"/>
        <v>10.99</v>
      </c>
      <c r="J157" s="354">
        <f t="shared" si="78"/>
        <v>0</v>
      </c>
      <c r="K157" s="714"/>
      <c r="L157" s="89"/>
      <c r="M157" s="746"/>
      <c r="N157" s="749"/>
      <c r="O157" s="752"/>
      <c r="P157" s="749"/>
      <c r="Q157" s="755"/>
      <c r="R157" s="382" t="s">
        <v>107</v>
      </c>
      <c r="S157" s="383">
        <v>0</v>
      </c>
      <c r="T157" s="393"/>
      <c r="U157" s="394">
        <f t="shared" si="82"/>
        <v>12.78</v>
      </c>
      <c r="V157" s="385">
        <f t="shared" si="79"/>
        <v>0</v>
      </c>
      <c r="W157" s="742"/>
      <c r="X157" s="89"/>
      <c r="Y157" s="601"/>
      <c r="Z157" s="596"/>
      <c r="AA157" s="597"/>
      <c r="AB157" s="598"/>
      <c r="AC157" s="599"/>
      <c r="AD157" s="176" t="s">
        <v>107</v>
      </c>
      <c r="AE157" s="177">
        <v>0</v>
      </c>
      <c r="AF157" s="178"/>
      <c r="AG157" s="183">
        <f t="shared" si="83"/>
        <v>18.29</v>
      </c>
      <c r="AH157" s="101">
        <f t="shared" si="80"/>
        <v>0</v>
      </c>
      <c r="AI157" s="701"/>
    </row>
    <row r="158" spans="1:35" ht="15" customHeight="1" x14ac:dyDescent="0.15">
      <c r="A158" s="775" t="s">
        <v>80</v>
      </c>
      <c r="B158" s="612">
        <f>B153</f>
        <v>356</v>
      </c>
      <c r="C158" s="779">
        <f>C153</f>
        <v>2008.8</v>
      </c>
      <c r="D158" s="612">
        <f>D153</f>
        <v>100</v>
      </c>
      <c r="E158" s="715">
        <f>ROUNDDOWN(B158*C158*((185-D158)/100),2)</f>
        <v>607862.88</v>
      </c>
      <c r="F158" s="355" t="s">
        <v>98</v>
      </c>
      <c r="G158" s="356">
        <v>35600</v>
      </c>
      <c r="H158" s="342">
        <f>SUM(G158:G162)</f>
        <v>78840</v>
      </c>
      <c r="I158" s="357">
        <f t="shared" ref="I158:I172" si="84">I113</f>
        <v>12.34</v>
      </c>
      <c r="J158" s="358">
        <f t="shared" si="78"/>
        <v>439304</v>
      </c>
      <c r="K158" s="714">
        <f>ROUNDDOWN(E158+J158+J159+J160+J161+J162,2)</f>
        <v>1532618.88</v>
      </c>
      <c r="L158" s="89"/>
      <c r="M158" s="744" t="s">
        <v>80</v>
      </c>
      <c r="N158" s="747">
        <f>N153</f>
        <v>356</v>
      </c>
      <c r="O158" s="750">
        <f>O153</f>
        <v>2008.8</v>
      </c>
      <c r="P158" s="747">
        <f>P153</f>
        <v>100</v>
      </c>
      <c r="Q158" s="739">
        <f>ROUNDDOWN(N158*O158*((185-P158)/100),2)</f>
        <v>607862.88</v>
      </c>
      <c r="R158" s="386" t="s">
        <v>98</v>
      </c>
      <c r="S158" s="387">
        <v>35600</v>
      </c>
      <c r="T158" s="388"/>
      <c r="U158" s="389">
        <f t="shared" ref="U158:U172" si="85">U113</f>
        <v>11.87</v>
      </c>
      <c r="V158" s="390">
        <f t="shared" si="79"/>
        <v>422572</v>
      </c>
      <c r="W158" s="742">
        <f>ROUNDDOWN(Q158+V158+V159+V160+V161+V162,2)</f>
        <v>1543693.68</v>
      </c>
      <c r="X158" s="89"/>
      <c r="Y158" s="583" t="s">
        <v>80</v>
      </c>
      <c r="Z158" s="585">
        <f>Z153</f>
        <v>356</v>
      </c>
      <c r="AA158" s="587">
        <f>AA153</f>
        <v>1296</v>
      </c>
      <c r="AB158" s="589">
        <f>AB153</f>
        <v>100</v>
      </c>
      <c r="AC158" s="698">
        <f>ROUNDDOWN(Z158*AA158*((185-AB158)/100),2)</f>
        <v>392169.6</v>
      </c>
      <c r="AD158" s="179" t="s">
        <v>98</v>
      </c>
      <c r="AE158" s="180">
        <v>35600</v>
      </c>
      <c r="AF158" s="170"/>
      <c r="AG158" s="181">
        <f t="shared" ref="AG158:AG172" si="86">AG113</f>
        <v>16.87</v>
      </c>
      <c r="AH158" s="102">
        <f t="shared" si="80"/>
        <v>600572</v>
      </c>
      <c r="AI158" s="701">
        <f>ROUNDDOWN(AC158+AH158+AH159+AH160+AH161+AH162,2)</f>
        <v>1722200.4</v>
      </c>
    </row>
    <row r="159" spans="1:35" ht="15" customHeight="1" x14ac:dyDescent="0.15">
      <c r="A159" s="776"/>
      <c r="B159" s="778"/>
      <c r="C159" s="780"/>
      <c r="D159" s="778"/>
      <c r="E159" s="716"/>
      <c r="F159" s="345" t="s">
        <v>99</v>
      </c>
      <c r="G159" s="346">
        <v>35600</v>
      </c>
      <c r="H159" s="347"/>
      <c r="I159" s="359">
        <f t="shared" si="84"/>
        <v>11.34</v>
      </c>
      <c r="J159" s="349">
        <f t="shared" si="78"/>
        <v>403704</v>
      </c>
      <c r="K159" s="714"/>
      <c r="L159" s="89"/>
      <c r="M159" s="745"/>
      <c r="N159" s="748"/>
      <c r="O159" s="751"/>
      <c r="P159" s="748"/>
      <c r="Q159" s="740"/>
      <c r="R159" s="378" t="s">
        <v>99</v>
      </c>
      <c r="S159" s="379">
        <v>35600</v>
      </c>
      <c r="T159" s="391"/>
      <c r="U159" s="392">
        <f t="shared" si="85"/>
        <v>11.87</v>
      </c>
      <c r="V159" s="381">
        <f t="shared" si="79"/>
        <v>422572</v>
      </c>
      <c r="W159" s="742"/>
      <c r="X159" s="89"/>
      <c r="Y159" s="616"/>
      <c r="Z159" s="703"/>
      <c r="AA159" s="704"/>
      <c r="AB159" s="705"/>
      <c r="AC159" s="699"/>
      <c r="AD159" s="171" t="s">
        <v>99</v>
      </c>
      <c r="AE159" s="172">
        <v>35600</v>
      </c>
      <c r="AF159" s="173"/>
      <c r="AG159" s="182">
        <f t="shared" si="86"/>
        <v>16.87</v>
      </c>
      <c r="AH159" s="175">
        <f t="shared" si="80"/>
        <v>600572</v>
      </c>
      <c r="AI159" s="701"/>
    </row>
    <row r="160" spans="1:35" ht="15" customHeight="1" x14ac:dyDescent="0.15">
      <c r="A160" s="776"/>
      <c r="B160" s="778"/>
      <c r="C160" s="780"/>
      <c r="D160" s="778"/>
      <c r="E160" s="716"/>
      <c r="F160" s="345" t="s">
        <v>100</v>
      </c>
      <c r="G160" s="346">
        <v>7640</v>
      </c>
      <c r="H160" s="347"/>
      <c r="I160" s="359">
        <f t="shared" si="84"/>
        <v>10.700000000000001</v>
      </c>
      <c r="J160" s="349">
        <f t="shared" si="78"/>
        <v>81748</v>
      </c>
      <c r="K160" s="714"/>
      <c r="L160" s="89"/>
      <c r="M160" s="745"/>
      <c r="N160" s="748"/>
      <c r="O160" s="751"/>
      <c r="P160" s="748"/>
      <c r="Q160" s="740"/>
      <c r="R160" s="378" t="s">
        <v>100</v>
      </c>
      <c r="S160" s="379">
        <v>7640</v>
      </c>
      <c r="T160" s="391"/>
      <c r="U160" s="392">
        <f t="shared" si="85"/>
        <v>11.87</v>
      </c>
      <c r="V160" s="381">
        <f t="shared" si="79"/>
        <v>90686.8</v>
      </c>
      <c r="W160" s="742"/>
      <c r="X160" s="89"/>
      <c r="Y160" s="616"/>
      <c r="Z160" s="703"/>
      <c r="AA160" s="704"/>
      <c r="AB160" s="705"/>
      <c r="AC160" s="699"/>
      <c r="AD160" s="171" t="s">
        <v>100</v>
      </c>
      <c r="AE160" s="172">
        <v>7640</v>
      </c>
      <c r="AF160" s="173"/>
      <c r="AG160" s="182">
        <f t="shared" si="86"/>
        <v>16.87</v>
      </c>
      <c r="AH160" s="175">
        <f t="shared" si="80"/>
        <v>128886.8</v>
      </c>
      <c r="AI160" s="701"/>
    </row>
    <row r="161" spans="1:35" ht="15" customHeight="1" x14ac:dyDescent="0.15">
      <c r="A161" s="776"/>
      <c r="B161" s="778"/>
      <c r="C161" s="780"/>
      <c r="D161" s="778"/>
      <c r="E161" s="716"/>
      <c r="F161" s="345" t="s">
        <v>101</v>
      </c>
      <c r="G161" s="346">
        <v>0</v>
      </c>
      <c r="H161" s="347"/>
      <c r="I161" s="359">
        <f t="shared" si="84"/>
        <v>10.35</v>
      </c>
      <c r="J161" s="349">
        <f t="shared" si="78"/>
        <v>0</v>
      </c>
      <c r="K161" s="714"/>
      <c r="L161" s="89"/>
      <c r="M161" s="745"/>
      <c r="N161" s="748"/>
      <c r="O161" s="751"/>
      <c r="P161" s="748"/>
      <c r="Q161" s="740"/>
      <c r="R161" s="378" t="s">
        <v>101</v>
      </c>
      <c r="S161" s="379">
        <v>0</v>
      </c>
      <c r="T161" s="391"/>
      <c r="U161" s="392">
        <f t="shared" si="85"/>
        <v>11.87</v>
      </c>
      <c r="V161" s="381">
        <f t="shared" si="79"/>
        <v>0</v>
      </c>
      <c r="W161" s="742"/>
      <c r="X161" s="89"/>
      <c r="Y161" s="616"/>
      <c r="Z161" s="703"/>
      <c r="AA161" s="704"/>
      <c r="AB161" s="705"/>
      <c r="AC161" s="699"/>
      <c r="AD161" s="171" t="s">
        <v>101</v>
      </c>
      <c r="AE161" s="172">
        <v>0</v>
      </c>
      <c r="AF161" s="173"/>
      <c r="AG161" s="182">
        <f t="shared" si="86"/>
        <v>16.87</v>
      </c>
      <c r="AH161" s="175">
        <f t="shared" si="80"/>
        <v>0</v>
      </c>
      <c r="AI161" s="701"/>
    </row>
    <row r="162" spans="1:35" ht="15" customHeight="1" x14ac:dyDescent="0.15">
      <c r="A162" s="777"/>
      <c r="B162" s="614"/>
      <c r="C162" s="781"/>
      <c r="D162" s="614"/>
      <c r="E162" s="717"/>
      <c r="F162" s="350" t="s">
        <v>102</v>
      </c>
      <c r="G162" s="351">
        <v>0</v>
      </c>
      <c r="H162" s="352"/>
      <c r="I162" s="360">
        <f t="shared" si="84"/>
        <v>10.23</v>
      </c>
      <c r="J162" s="354">
        <f t="shared" si="78"/>
        <v>0</v>
      </c>
      <c r="K162" s="714"/>
      <c r="L162" s="89"/>
      <c r="M162" s="746"/>
      <c r="N162" s="749"/>
      <c r="O162" s="752"/>
      <c r="P162" s="749"/>
      <c r="Q162" s="741"/>
      <c r="R162" s="382" t="s">
        <v>102</v>
      </c>
      <c r="S162" s="383">
        <v>0</v>
      </c>
      <c r="T162" s="393"/>
      <c r="U162" s="394">
        <f t="shared" si="85"/>
        <v>11.87</v>
      </c>
      <c r="V162" s="385">
        <f t="shared" si="79"/>
        <v>0</v>
      </c>
      <c r="W162" s="742"/>
      <c r="X162" s="89"/>
      <c r="Y162" s="601"/>
      <c r="Z162" s="596"/>
      <c r="AA162" s="597"/>
      <c r="AB162" s="598"/>
      <c r="AC162" s="700"/>
      <c r="AD162" s="176" t="s">
        <v>102</v>
      </c>
      <c r="AE162" s="177">
        <v>0</v>
      </c>
      <c r="AF162" s="178"/>
      <c r="AG162" s="183">
        <f t="shared" si="86"/>
        <v>16.87</v>
      </c>
      <c r="AH162" s="101">
        <f t="shared" si="80"/>
        <v>0</v>
      </c>
      <c r="AI162" s="701"/>
    </row>
    <row r="163" spans="1:35" ht="15" customHeight="1" x14ac:dyDescent="0.15">
      <c r="A163" s="775" t="s">
        <v>81</v>
      </c>
      <c r="B163" s="612">
        <f>B158</f>
        <v>356</v>
      </c>
      <c r="C163" s="779">
        <f>C158</f>
        <v>2008.8</v>
      </c>
      <c r="D163" s="612">
        <f>D158</f>
        <v>100</v>
      </c>
      <c r="E163" s="715">
        <f>ROUNDDOWN(B163*C163*((185-D163)/100),2)</f>
        <v>607862.88</v>
      </c>
      <c r="F163" s="355" t="s">
        <v>98</v>
      </c>
      <c r="G163" s="356">
        <v>35600</v>
      </c>
      <c r="H163" s="342">
        <f>SUM(G163:G167)</f>
        <v>80844</v>
      </c>
      <c r="I163" s="357">
        <f t="shared" si="84"/>
        <v>12.34</v>
      </c>
      <c r="J163" s="358">
        <f t="shared" si="78"/>
        <v>439304</v>
      </c>
      <c r="K163" s="714">
        <f>ROUNDDOWN(E163+J163+J164+J165+J166+J167,2)</f>
        <v>1554061.68</v>
      </c>
      <c r="L163" s="89"/>
      <c r="M163" s="744" t="s">
        <v>81</v>
      </c>
      <c r="N163" s="747">
        <f>N158</f>
        <v>356</v>
      </c>
      <c r="O163" s="750">
        <f>O158</f>
        <v>2008.8</v>
      </c>
      <c r="P163" s="747">
        <f>P158</f>
        <v>100</v>
      </c>
      <c r="Q163" s="739">
        <f>ROUNDDOWN(N163*O163*((185-P163)/100),2)</f>
        <v>607862.88</v>
      </c>
      <c r="R163" s="386" t="s">
        <v>98</v>
      </c>
      <c r="S163" s="387">
        <v>35600</v>
      </c>
      <c r="T163" s="388"/>
      <c r="U163" s="389">
        <f t="shared" si="85"/>
        <v>11.87</v>
      </c>
      <c r="V163" s="390">
        <f t="shared" si="79"/>
        <v>422572</v>
      </c>
      <c r="W163" s="742">
        <f>ROUNDDOWN(Q163+V163+V164+V165+V166+V167,2)</f>
        <v>1567481.16</v>
      </c>
      <c r="X163" s="89"/>
      <c r="Y163" s="583" t="s">
        <v>81</v>
      </c>
      <c r="Z163" s="585">
        <f>Z158</f>
        <v>356</v>
      </c>
      <c r="AA163" s="587">
        <f>AA158</f>
        <v>1296</v>
      </c>
      <c r="AB163" s="589">
        <f>AB158</f>
        <v>100</v>
      </c>
      <c r="AC163" s="698">
        <f>ROUNDDOWN(Z163*AA163*((185-AB163)/100),2)</f>
        <v>392169.6</v>
      </c>
      <c r="AD163" s="179" t="s">
        <v>98</v>
      </c>
      <c r="AE163" s="180">
        <v>35600</v>
      </c>
      <c r="AF163" s="170"/>
      <c r="AG163" s="181">
        <f t="shared" si="86"/>
        <v>16.87</v>
      </c>
      <c r="AH163" s="102">
        <f t="shared" si="80"/>
        <v>600572</v>
      </c>
      <c r="AI163" s="701">
        <f>ROUNDDOWN(AC163+AH163+AH164+AH165+AH166+AH167,2)</f>
        <v>1756007.88</v>
      </c>
    </row>
    <row r="164" spans="1:35" ht="15" customHeight="1" x14ac:dyDescent="0.15">
      <c r="A164" s="776"/>
      <c r="B164" s="778"/>
      <c r="C164" s="780"/>
      <c r="D164" s="778"/>
      <c r="E164" s="716"/>
      <c r="F164" s="345" t="s">
        <v>99</v>
      </c>
      <c r="G164" s="346">
        <v>35600</v>
      </c>
      <c r="H164" s="347"/>
      <c r="I164" s="359">
        <f t="shared" si="84"/>
        <v>11.34</v>
      </c>
      <c r="J164" s="349">
        <f t="shared" si="78"/>
        <v>403704</v>
      </c>
      <c r="K164" s="714"/>
      <c r="L164" s="89"/>
      <c r="M164" s="745"/>
      <c r="N164" s="748"/>
      <c r="O164" s="751"/>
      <c r="P164" s="748"/>
      <c r="Q164" s="740"/>
      <c r="R164" s="378" t="s">
        <v>99</v>
      </c>
      <c r="S164" s="379">
        <v>35600</v>
      </c>
      <c r="T164" s="391"/>
      <c r="U164" s="392">
        <f t="shared" si="85"/>
        <v>11.87</v>
      </c>
      <c r="V164" s="381">
        <f t="shared" si="79"/>
        <v>422572</v>
      </c>
      <c r="W164" s="742"/>
      <c r="X164" s="89"/>
      <c r="Y164" s="616"/>
      <c r="Z164" s="703"/>
      <c r="AA164" s="704"/>
      <c r="AB164" s="705"/>
      <c r="AC164" s="699"/>
      <c r="AD164" s="171" t="s">
        <v>99</v>
      </c>
      <c r="AE164" s="172">
        <v>35600</v>
      </c>
      <c r="AF164" s="173"/>
      <c r="AG164" s="182">
        <f t="shared" si="86"/>
        <v>16.87</v>
      </c>
      <c r="AH164" s="175">
        <f t="shared" si="80"/>
        <v>600572</v>
      </c>
      <c r="AI164" s="701"/>
    </row>
    <row r="165" spans="1:35" ht="15" customHeight="1" x14ac:dyDescent="0.15">
      <c r="A165" s="776"/>
      <c r="B165" s="778"/>
      <c r="C165" s="780"/>
      <c r="D165" s="778"/>
      <c r="E165" s="716"/>
      <c r="F165" s="345" t="s">
        <v>100</v>
      </c>
      <c r="G165" s="346">
        <v>9644</v>
      </c>
      <c r="H165" s="347"/>
      <c r="I165" s="359">
        <f t="shared" si="84"/>
        <v>10.700000000000001</v>
      </c>
      <c r="J165" s="349">
        <f t="shared" si="78"/>
        <v>103190.8</v>
      </c>
      <c r="K165" s="714"/>
      <c r="L165" s="89"/>
      <c r="M165" s="745"/>
      <c r="N165" s="748"/>
      <c r="O165" s="751"/>
      <c r="P165" s="748"/>
      <c r="Q165" s="740"/>
      <c r="R165" s="378" t="s">
        <v>100</v>
      </c>
      <c r="S165" s="379">
        <v>9644</v>
      </c>
      <c r="T165" s="391"/>
      <c r="U165" s="392">
        <f t="shared" si="85"/>
        <v>11.87</v>
      </c>
      <c r="V165" s="381">
        <f t="shared" si="79"/>
        <v>114474.28</v>
      </c>
      <c r="W165" s="742"/>
      <c r="X165" s="89"/>
      <c r="Y165" s="616"/>
      <c r="Z165" s="703"/>
      <c r="AA165" s="704"/>
      <c r="AB165" s="705"/>
      <c r="AC165" s="699"/>
      <c r="AD165" s="171" t="s">
        <v>100</v>
      </c>
      <c r="AE165" s="172">
        <v>9644</v>
      </c>
      <c r="AF165" s="173"/>
      <c r="AG165" s="182">
        <f t="shared" si="86"/>
        <v>16.87</v>
      </c>
      <c r="AH165" s="175">
        <f t="shared" si="80"/>
        <v>162694.28</v>
      </c>
      <c r="AI165" s="701"/>
    </row>
    <row r="166" spans="1:35" ht="15" customHeight="1" x14ac:dyDescent="0.15">
      <c r="A166" s="776"/>
      <c r="B166" s="778"/>
      <c r="C166" s="780"/>
      <c r="D166" s="778"/>
      <c r="E166" s="716"/>
      <c r="F166" s="345" t="s">
        <v>101</v>
      </c>
      <c r="G166" s="346">
        <v>0</v>
      </c>
      <c r="H166" s="347"/>
      <c r="I166" s="359">
        <f t="shared" si="84"/>
        <v>10.35</v>
      </c>
      <c r="J166" s="349">
        <f t="shared" si="78"/>
        <v>0</v>
      </c>
      <c r="K166" s="714"/>
      <c r="L166" s="89"/>
      <c r="M166" s="745"/>
      <c r="N166" s="748"/>
      <c r="O166" s="751"/>
      <c r="P166" s="748"/>
      <c r="Q166" s="740"/>
      <c r="R166" s="378" t="s">
        <v>101</v>
      </c>
      <c r="S166" s="379">
        <v>0</v>
      </c>
      <c r="T166" s="391"/>
      <c r="U166" s="392">
        <f t="shared" si="85"/>
        <v>11.87</v>
      </c>
      <c r="V166" s="381">
        <f t="shared" si="79"/>
        <v>0</v>
      </c>
      <c r="W166" s="742"/>
      <c r="X166" s="89"/>
      <c r="Y166" s="616"/>
      <c r="Z166" s="703"/>
      <c r="AA166" s="704"/>
      <c r="AB166" s="705"/>
      <c r="AC166" s="699"/>
      <c r="AD166" s="171" t="s">
        <v>101</v>
      </c>
      <c r="AE166" s="172">
        <v>0</v>
      </c>
      <c r="AF166" s="173"/>
      <c r="AG166" s="182">
        <f t="shared" si="86"/>
        <v>16.87</v>
      </c>
      <c r="AH166" s="175">
        <f t="shared" si="80"/>
        <v>0</v>
      </c>
      <c r="AI166" s="701"/>
    </row>
    <row r="167" spans="1:35" ht="15" customHeight="1" x14ac:dyDescent="0.15">
      <c r="A167" s="777"/>
      <c r="B167" s="614"/>
      <c r="C167" s="781"/>
      <c r="D167" s="614"/>
      <c r="E167" s="717"/>
      <c r="F167" s="350" t="s">
        <v>102</v>
      </c>
      <c r="G167" s="351">
        <v>0</v>
      </c>
      <c r="H167" s="352"/>
      <c r="I167" s="360">
        <f t="shared" si="84"/>
        <v>10.23</v>
      </c>
      <c r="J167" s="354">
        <f t="shared" si="78"/>
        <v>0</v>
      </c>
      <c r="K167" s="714"/>
      <c r="L167" s="89"/>
      <c r="M167" s="746"/>
      <c r="N167" s="749"/>
      <c r="O167" s="752"/>
      <c r="P167" s="749"/>
      <c r="Q167" s="741"/>
      <c r="R167" s="382" t="s">
        <v>102</v>
      </c>
      <c r="S167" s="383">
        <v>0</v>
      </c>
      <c r="T167" s="393"/>
      <c r="U167" s="394">
        <f t="shared" si="85"/>
        <v>11.87</v>
      </c>
      <c r="V167" s="385">
        <f t="shared" si="79"/>
        <v>0</v>
      </c>
      <c r="W167" s="742"/>
      <c r="X167" s="89"/>
      <c r="Y167" s="601"/>
      <c r="Z167" s="596"/>
      <c r="AA167" s="597"/>
      <c r="AB167" s="598"/>
      <c r="AC167" s="700"/>
      <c r="AD167" s="176" t="s">
        <v>102</v>
      </c>
      <c r="AE167" s="177">
        <v>0</v>
      </c>
      <c r="AF167" s="178"/>
      <c r="AG167" s="183">
        <f t="shared" si="86"/>
        <v>16.87</v>
      </c>
      <c r="AH167" s="101">
        <f t="shared" si="80"/>
        <v>0</v>
      </c>
      <c r="AI167" s="701"/>
    </row>
    <row r="168" spans="1:35" ht="15" customHeight="1" x14ac:dyDescent="0.15">
      <c r="A168" s="775" t="s">
        <v>82</v>
      </c>
      <c r="B168" s="612">
        <f>B163</f>
        <v>356</v>
      </c>
      <c r="C168" s="779">
        <f>C163</f>
        <v>2008.8</v>
      </c>
      <c r="D168" s="612">
        <f>D163</f>
        <v>100</v>
      </c>
      <c r="E168" s="715">
        <f>ROUNDDOWN(B168*C168*((185-D168)/100),2)</f>
        <v>607862.88</v>
      </c>
      <c r="F168" s="355" t="s">
        <v>98</v>
      </c>
      <c r="G168" s="356">
        <v>35600</v>
      </c>
      <c r="H168" s="342">
        <f>SUM(G168:G172)</f>
        <v>69138</v>
      </c>
      <c r="I168" s="357">
        <f t="shared" si="84"/>
        <v>12.34</v>
      </c>
      <c r="J168" s="358">
        <f t="shared" si="78"/>
        <v>439304</v>
      </c>
      <c r="K168" s="714">
        <f>ROUNDDOWN(E168+J168+J169+J170+J171+J172,2)</f>
        <v>1427487.8</v>
      </c>
      <c r="L168" s="89"/>
      <c r="M168" s="744" t="s">
        <v>82</v>
      </c>
      <c r="N168" s="747">
        <f>N163</f>
        <v>356</v>
      </c>
      <c r="O168" s="750">
        <f>O163</f>
        <v>2008.8</v>
      </c>
      <c r="P168" s="747">
        <f>P163</f>
        <v>100</v>
      </c>
      <c r="Q168" s="739">
        <f>ROUNDDOWN(N168*O168*((185-P168)/100),2)</f>
        <v>607862.88</v>
      </c>
      <c r="R168" s="386" t="s">
        <v>98</v>
      </c>
      <c r="S168" s="387">
        <v>35600</v>
      </c>
      <c r="T168" s="388"/>
      <c r="U168" s="389">
        <f t="shared" si="85"/>
        <v>11.87</v>
      </c>
      <c r="V168" s="390">
        <f t="shared" si="79"/>
        <v>422572</v>
      </c>
      <c r="W168" s="742">
        <f>ROUNDDOWN(Q168+V168+V169+V170+V171+V172,2)</f>
        <v>1428530.94</v>
      </c>
      <c r="X168" s="89"/>
      <c r="Y168" s="583" t="s">
        <v>82</v>
      </c>
      <c r="Z168" s="585">
        <f>Z163</f>
        <v>356</v>
      </c>
      <c r="AA168" s="587">
        <f>AA163</f>
        <v>1296</v>
      </c>
      <c r="AB168" s="589">
        <f>AB163</f>
        <v>100</v>
      </c>
      <c r="AC168" s="698">
        <f>ROUNDDOWN(Z168*AA168*((185-AB168)/100),2)</f>
        <v>392169.6</v>
      </c>
      <c r="AD168" s="179" t="s">
        <v>98</v>
      </c>
      <c r="AE168" s="180">
        <v>35600</v>
      </c>
      <c r="AF168" s="170"/>
      <c r="AG168" s="181">
        <f t="shared" si="86"/>
        <v>16.87</v>
      </c>
      <c r="AH168" s="102">
        <f t="shared" si="80"/>
        <v>600572</v>
      </c>
      <c r="AI168" s="701">
        <f>ROUNDDOWN(AC168+AH168+AH169+AH170+AH171+AH172,2)</f>
        <v>1558527.66</v>
      </c>
    </row>
    <row r="169" spans="1:35" ht="15" customHeight="1" x14ac:dyDescent="0.15">
      <c r="A169" s="776"/>
      <c r="B169" s="778"/>
      <c r="C169" s="780"/>
      <c r="D169" s="778"/>
      <c r="E169" s="716"/>
      <c r="F169" s="345" t="s">
        <v>99</v>
      </c>
      <c r="G169" s="346">
        <v>33538</v>
      </c>
      <c r="H169" s="347"/>
      <c r="I169" s="359">
        <f t="shared" si="84"/>
        <v>11.34</v>
      </c>
      <c r="J169" s="349">
        <f t="shared" si="78"/>
        <v>380320.92</v>
      </c>
      <c r="K169" s="714"/>
      <c r="L169" s="89"/>
      <c r="M169" s="745"/>
      <c r="N169" s="748"/>
      <c r="O169" s="751"/>
      <c r="P169" s="748"/>
      <c r="Q169" s="740"/>
      <c r="R169" s="378" t="s">
        <v>99</v>
      </c>
      <c r="S169" s="379">
        <v>33538</v>
      </c>
      <c r="T169" s="391"/>
      <c r="U169" s="392">
        <f t="shared" si="85"/>
        <v>11.87</v>
      </c>
      <c r="V169" s="381">
        <f t="shared" si="79"/>
        <v>398096.06</v>
      </c>
      <c r="W169" s="742"/>
      <c r="X169" s="89"/>
      <c r="Y169" s="616"/>
      <c r="Z169" s="703"/>
      <c r="AA169" s="704"/>
      <c r="AB169" s="705"/>
      <c r="AC169" s="699"/>
      <c r="AD169" s="171" t="s">
        <v>99</v>
      </c>
      <c r="AE169" s="172">
        <v>33538</v>
      </c>
      <c r="AF169" s="173"/>
      <c r="AG169" s="182">
        <f t="shared" si="86"/>
        <v>16.87</v>
      </c>
      <c r="AH169" s="175">
        <f t="shared" si="80"/>
        <v>565786.06000000006</v>
      </c>
      <c r="AI169" s="701"/>
    </row>
    <row r="170" spans="1:35" ht="15" customHeight="1" x14ac:dyDescent="0.15">
      <c r="A170" s="776"/>
      <c r="B170" s="778"/>
      <c r="C170" s="780"/>
      <c r="D170" s="778"/>
      <c r="E170" s="716"/>
      <c r="F170" s="345" t="s">
        <v>100</v>
      </c>
      <c r="G170" s="346">
        <v>0</v>
      </c>
      <c r="H170" s="347"/>
      <c r="I170" s="359">
        <f t="shared" si="84"/>
        <v>10.700000000000001</v>
      </c>
      <c r="J170" s="349">
        <f t="shared" si="78"/>
        <v>0</v>
      </c>
      <c r="K170" s="714"/>
      <c r="L170" s="89"/>
      <c r="M170" s="745"/>
      <c r="N170" s="748"/>
      <c r="O170" s="751"/>
      <c r="P170" s="748"/>
      <c r="Q170" s="740"/>
      <c r="R170" s="378" t="s">
        <v>100</v>
      </c>
      <c r="S170" s="379">
        <v>0</v>
      </c>
      <c r="T170" s="391"/>
      <c r="U170" s="392">
        <f t="shared" si="85"/>
        <v>11.87</v>
      </c>
      <c r="V170" s="381">
        <f t="shared" si="79"/>
        <v>0</v>
      </c>
      <c r="W170" s="742"/>
      <c r="X170" s="89"/>
      <c r="Y170" s="616"/>
      <c r="Z170" s="703"/>
      <c r="AA170" s="704"/>
      <c r="AB170" s="705"/>
      <c r="AC170" s="699"/>
      <c r="AD170" s="171" t="s">
        <v>100</v>
      </c>
      <c r="AE170" s="172">
        <v>0</v>
      </c>
      <c r="AF170" s="173"/>
      <c r="AG170" s="182">
        <f t="shared" si="86"/>
        <v>16.87</v>
      </c>
      <c r="AH170" s="175">
        <f t="shared" si="80"/>
        <v>0</v>
      </c>
      <c r="AI170" s="701"/>
    </row>
    <row r="171" spans="1:35" ht="15" customHeight="1" x14ac:dyDescent="0.15">
      <c r="A171" s="776"/>
      <c r="B171" s="778"/>
      <c r="C171" s="780"/>
      <c r="D171" s="778"/>
      <c r="E171" s="716"/>
      <c r="F171" s="345" t="s">
        <v>101</v>
      </c>
      <c r="G171" s="346">
        <v>0</v>
      </c>
      <c r="H171" s="347"/>
      <c r="I171" s="359">
        <f t="shared" si="84"/>
        <v>10.35</v>
      </c>
      <c r="J171" s="349">
        <f t="shared" si="78"/>
        <v>0</v>
      </c>
      <c r="K171" s="714"/>
      <c r="L171" s="89" t="s">
        <v>155</v>
      </c>
      <c r="M171" s="745"/>
      <c r="N171" s="748"/>
      <c r="O171" s="751"/>
      <c r="P171" s="748"/>
      <c r="Q171" s="740"/>
      <c r="R171" s="378" t="s">
        <v>101</v>
      </c>
      <c r="S171" s="379">
        <v>0</v>
      </c>
      <c r="T171" s="391"/>
      <c r="U171" s="392">
        <f t="shared" si="85"/>
        <v>11.87</v>
      </c>
      <c r="V171" s="381">
        <f t="shared" si="79"/>
        <v>0</v>
      </c>
      <c r="W171" s="742"/>
      <c r="X171" s="89" t="s">
        <v>155</v>
      </c>
      <c r="Y171" s="616"/>
      <c r="Z171" s="703"/>
      <c r="AA171" s="704"/>
      <c r="AB171" s="705"/>
      <c r="AC171" s="699"/>
      <c r="AD171" s="171" t="s">
        <v>101</v>
      </c>
      <c r="AE171" s="172">
        <v>0</v>
      </c>
      <c r="AF171" s="173"/>
      <c r="AG171" s="182">
        <f t="shared" si="86"/>
        <v>16.87</v>
      </c>
      <c r="AH171" s="175">
        <f t="shared" si="80"/>
        <v>0</v>
      </c>
      <c r="AI171" s="701"/>
    </row>
    <row r="172" spans="1:35" ht="14.25" thickBot="1" x14ac:dyDescent="0.2">
      <c r="A172" s="777"/>
      <c r="B172" s="778"/>
      <c r="C172" s="780"/>
      <c r="D172" s="778"/>
      <c r="E172" s="716"/>
      <c r="F172" s="350" t="s">
        <v>102</v>
      </c>
      <c r="G172" s="362">
        <v>0</v>
      </c>
      <c r="H172" s="352"/>
      <c r="I172" s="360">
        <f t="shared" si="84"/>
        <v>10.23</v>
      </c>
      <c r="J172" s="363">
        <f t="shared" si="78"/>
        <v>0</v>
      </c>
      <c r="K172" s="785"/>
      <c r="L172" s="89"/>
      <c r="M172" s="746"/>
      <c r="N172" s="748"/>
      <c r="O172" s="751"/>
      <c r="P172" s="748"/>
      <c r="Q172" s="740"/>
      <c r="R172" s="382" t="s">
        <v>102</v>
      </c>
      <c r="S172" s="396">
        <v>0</v>
      </c>
      <c r="T172" s="397"/>
      <c r="U172" s="394">
        <f t="shared" si="85"/>
        <v>11.87</v>
      </c>
      <c r="V172" s="398">
        <f t="shared" si="79"/>
        <v>0</v>
      </c>
      <c r="W172" s="743"/>
      <c r="X172" s="89"/>
      <c r="Y172" s="601"/>
      <c r="Z172" s="703"/>
      <c r="AA172" s="704"/>
      <c r="AB172" s="705"/>
      <c r="AC172" s="699"/>
      <c r="AD172" s="176" t="s">
        <v>102</v>
      </c>
      <c r="AE172" s="184">
        <v>0</v>
      </c>
      <c r="AF172" s="210"/>
      <c r="AG172" s="183">
        <f t="shared" si="86"/>
        <v>16.87</v>
      </c>
      <c r="AH172" s="185">
        <f t="shared" si="80"/>
        <v>0</v>
      </c>
      <c r="AI172" s="702"/>
    </row>
    <row r="173" spans="1:35" ht="14.25" thickBot="1" x14ac:dyDescent="0.2">
      <c r="A173" s="364" t="s">
        <v>41</v>
      </c>
      <c r="B173" s="365"/>
      <c r="C173" s="366"/>
      <c r="D173" s="365"/>
      <c r="E173" s="367">
        <f>SUM(E113:E172)</f>
        <v>7294354.5599999996</v>
      </c>
      <c r="F173" s="368"/>
      <c r="G173" s="369">
        <f>SUM(G113:G172)</f>
        <v>1042187</v>
      </c>
      <c r="H173" s="369">
        <f>SUM(H113:H172)</f>
        <v>1042187</v>
      </c>
      <c r="I173" s="366"/>
      <c r="J173" s="367">
        <f>SUM(J113:J172)</f>
        <v>12391319.300000001</v>
      </c>
      <c r="K173" s="370">
        <f>SUM(K113:K172)</f>
        <v>19685673.859999996</v>
      </c>
      <c r="L173" s="89"/>
      <c r="M173" s="399" t="s">
        <v>41</v>
      </c>
      <c r="N173" s="400"/>
      <c r="O173" s="401"/>
      <c r="P173" s="400"/>
      <c r="Q173" s="402">
        <f>SUM(Q113:Q172)</f>
        <v>7294354.5599999996</v>
      </c>
      <c r="R173" s="403"/>
      <c r="S173" s="404">
        <f>SUM(S113:S172)</f>
        <v>1042187</v>
      </c>
      <c r="T173" s="404"/>
      <c r="U173" s="401"/>
      <c r="V173" s="402">
        <f>SUM(V113:V172)</f>
        <v>12645981.91</v>
      </c>
      <c r="W173" s="405">
        <f>SUM(W113:W172)</f>
        <v>19940336.470000003</v>
      </c>
      <c r="X173" s="89"/>
      <c r="Y173" s="186" t="s">
        <v>41</v>
      </c>
      <c r="Z173" s="187"/>
      <c r="AA173" s="188"/>
      <c r="AB173" s="187"/>
      <c r="AC173" s="189">
        <f>SUM(AC113:AC172)</f>
        <v>4706035.2</v>
      </c>
      <c r="AD173" s="190"/>
      <c r="AE173" s="191">
        <f>SUM(AE113:AE172)</f>
        <v>1042187</v>
      </c>
      <c r="AF173" s="191"/>
      <c r="AG173" s="188"/>
      <c r="AH173" s="189">
        <f>SUM(AH113:AH172)</f>
        <v>18011162.329999998</v>
      </c>
      <c r="AI173" s="192">
        <f>SUM(AI113:AI172)</f>
        <v>22717197.529999997</v>
      </c>
    </row>
    <row r="174" spans="1:35" ht="15" customHeight="1" x14ac:dyDescent="0.15">
      <c r="A174" s="331"/>
      <c r="B174" s="371"/>
      <c r="C174" s="371"/>
      <c r="D174" s="371"/>
      <c r="E174" s="371"/>
      <c r="F174" s="371"/>
      <c r="G174" s="372"/>
      <c r="H174" s="372"/>
      <c r="I174" s="372"/>
      <c r="J174" s="373"/>
      <c r="K174" s="373"/>
      <c r="L174" s="96"/>
      <c r="M174" s="258"/>
      <c r="N174" s="294"/>
      <c r="O174" s="294"/>
      <c r="P174" s="294"/>
      <c r="Q174" s="294"/>
      <c r="R174" s="294"/>
      <c r="S174" s="294"/>
      <c r="T174" s="294"/>
      <c r="U174" s="294"/>
      <c r="V174" s="406"/>
      <c r="W174" s="406"/>
      <c r="X174" s="96"/>
      <c r="Z174" s="162"/>
      <c r="AA174" s="162"/>
      <c r="AB174" s="162"/>
      <c r="AC174" s="162"/>
      <c r="AD174" s="162"/>
      <c r="AE174" s="193"/>
      <c r="AF174" s="193"/>
      <c r="AG174" s="193"/>
      <c r="AH174" s="194"/>
      <c r="AI174" s="194"/>
    </row>
    <row r="175" spans="1:35" x14ac:dyDescent="0.15">
      <c r="A175" s="211" t="s">
        <v>153</v>
      </c>
      <c r="B175" s="212">
        <f>B102+1</f>
        <v>6</v>
      </c>
      <c r="C175" s="213"/>
      <c r="D175" s="213"/>
      <c r="E175" s="213"/>
      <c r="F175" s="213"/>
      <c r="G175" s="213"/>
      <c r="H175" s="213"/>
      <c r="I175" s="213"/>
      <c r="J175" s="213"/>
      <c r="K175" s="692" t="str">
        <f>IF(K198-W198&lt;=0,"現状のまま","メニュー変更")</f>
        <v>現状のまま</v>
      </c>
      <c r="L175" s="2"/>
      <c r="M175" s="47" t="s">
        <v>153</v>
      </c>
      <c r="N175" s="62">
        <f>N102+1</f>
        <v>6</v>
      </c>
      <c r="X175" s="2"/>
      <c r="Y175" s="47" t="s">
        <v>153</v>
      </c>
      <c r="Z175" s="62">
        <f>Z102+1</f>
        <v>6</v>
      </c>
    </row>
    <row r="176" spans="1:35" x14ac:dyDescent="0.15">
      <c r="A176" s="214"/>
      <c r="B176" s="213"/>
      <c r="C176" s="213"/>
      <c r="D176" s="213"/>
      <c r="E176" s="213"/>
      <c r="F176" s="213"/>
      <c r="G176" s="213"/>
      <c r="H176" s="213"/>
      <c r="I176" s="213"/>
      <c r="J176" s="213"/>
      <c r="K176" s="692"/>
      <c r="L176" s="2"/>
      <c r="X176" s="2"/>
    </row>
    <row r="177" spans="1:35" x14ac:dyDescent="0.15">
      <c r="A177" s="214"/>
      <c r="B177" s="213"/>
      <c r="C177" s="213"/>
      <c r="D177" s="213"/>
      <c r="E177" s="213"/>
      <c r="F177" s="213"/>
      <c r="G177" s="213"/>
      <c r="H177" s="213"/>
      <c r="I177" s="213"/>
      <c r="J177" s="213"/>
      <c r="K177" s="692"/>
      <c r="L177" s="1"/>
      <c r="X177" s="1"/>
    </row>
    <row r="178" spans="1:35" ht="17.25" x14ac:dyDescent="0.15">
      <c r="A178" s="694" t="str">
        <f>$A$5</f>
        <v>平成29年度小郡市役所庁舎外25施設電力需給</v>
      </c>
      <c r="B178" s="694"/>
      <c r="C178" s="694"/>
      <c r="D178" s="694"/>
      <c r="E178" s="694"/>
      <c r="F178" s="694"/>
      <c r="G178" s="694"/>
      <c r="H178" s="694"/>
      <c r="I178" s="694"/>
      <c r="J178" s="694"/>
      <c r="K178" s="694"/>
      <c r="L178" s="2"/>
      <c r="M178" s="553" t="str">
        <f>$A$5</f>
        <v>平成29年度小郡市役所庁舎外25施設電力需給</v>
      </c>
      <c r="N178" s="553"/>
      <c r="O178" s="553"/>
      <c r="P178" s="553"/>
      <c r="Q178" s="553"/>
      <c r="R178" s="553"/>
      <c r="S178" s="553"/>
      <c r="T178" s="553"/>
      <c r="U178" s="553"/>
      <c r="V178" s="553"/>
      <c r="W178" s="553"/>
      <c r="X178" s="2"/>
      <c r="Y178" s="553" t="str">
        <f>$A$5</f>
        <v>平成29年度小郡市役所庁舎外25施設電力需給</v>
      </c>
      <c r="Z178" s="553"/>
      <c r="AA178" s="553"/>
      <c r="AB178" s="553"/>
      <c r="AC178" s="553"/>
      <c r="AD178" s="553"/>
      <c r="AE178" s="553"/>
      <c r="AF178" s="553"/>
      <c r="AG178" s="553"/>
      <c r="AH178" s="553"/>
      <c r="AI178" s="553"/>
    </row>
    <row r="179" spans="1:35" x14ac:dyDescent="0.15">
      <c r="A179" s="689" t="str">
        <f>$A$6</f>
        <v>（平成３０年１月～平成３０年１２月期間中の予定金額）</v>
      </c>
      <c r="B179" s="689"/>
      <c r="C179" s="689"/>
      <c r="D179" s="689"/>
      <c r="E179" s="689"/>
      <c r="F179" s="689"/>
      <c r="G179" s="689"/>
      <c r="H179" s="689"/>
      <c r="I179" s="689"/>
      <c r="J179" s="689"/>
      <c r="K179" s="689"/>
      <c r="L179" s="2"/>
      <c r="M179" s="555" t="str">
        <f>$A$6</f>
        <v>（平成３０年１月～平成３０年１２月期間中の予定金額）</v>
      </c>
      <c r="N179" s="555"/>
      <c r="O179" s="555"/>
      <c r="P179" s="555"/>
      <c r="Q179" s="555"/>
      <c r="R179" s="555"/>
      <c r="S179" s="555"/>
      <c r="T179" s="555"/>
      <c r="U179" s="555"/>
      <c r="V179" s="555"/>
      <c r="W179" s="555"/>
      <c r="X179" s="2"/>
      <c r="Y179" s="555" t="str">
        <f>$A$6</f>
        <v>（平成３０年１月～平成３０年１２月期間中の予定金額）</v>
      </c>
      <c r="Z179" s="555"/>
      <c r="AA179" s="555"/>
      <c r="AB179" s="555"/>
      <c r="AC179" s="555"/>
      <c r="AD179" s="555"/>
      <c r="AE179" s="555"/>
      <c r="AF179" s="555"/>
      <c r="AG179" s="555"/>
      <c r="AH179" s="555"/>
      <c r="AI179" s="555"/>
    </row>
    <row r="180" spans="1:35" ht="14.25" thickBot="1" x14ac:dyDescent="0.2">
      <c r="A180" s="306" t="s">
        <v>115</v>
      </c>
      <c r="B180" s="306"/>
      <c r="C180" s="213"/>
      <c r="D180" s="213"/>
      <c r="E180" s="213"/>
      <c r="F180" s="213"/>
      <c r="G180" s="213"/>
      <c r="H180" s="213"/>
      <c r="I180" s="213"/>
      <c r="J180" s="213"/>
      <c r="K180" s="211" t="s">
        <v>84</v>
      </c>
      <c r="L180" s="2"/>
      <c r="M180" s="195" t="s">
        <v>115</v>
      </c>
      <c r="N180" s="195"/>
      <c r="W180" s="47" t="s">
        <v>70</v>
      </c>
      <c r="X180" s="2"/>
      <c r="Y180" s="195" t="s">
        <v>115</v>
      </c>
      <c r="Z180" s="195"/>
      <c r="AI180" s="47" t="s">
        <v>70</v>
      </c>
    </row>
    <row r="181" spans="1:35" ht="18" customHeight="1" thickBot="1" x14ac:dyDescent="0.2">
      <c r="A181" s="695" t="s">
        <v>33</v>
      </c>
      <c r="B181" s="683" t="s">
        <v>24</v>
      </c>
      <c r="C181" s="684"/>
      <c r="D181" s="684"/>
      <c r="E181" s="685"/>
      <c r="F181" s="686" t="s">
        <v>34</v>
      </c>
      <c r="G181" s="687"/>
      <c r="H181" s="687"/>
      <c r="I181" s="687"/>
      <c r="J181" s="688"/>
      <c r="K181" s="667" t="s">
        <v>35</v>
      </c>
      <c r="L181" s="2"/>
      <c r="M181" s="567" t="s">
        <v>33</v>
      </c>
      <c r="N181" s="570" t="s">
        <v>24</v>
      </c>
      <c r="O181" s="571"/>
      <c r="P181" s="571"/>
      <c r="Q181" s="572"/>
      <c r="R181" s="573" t="s">
        <v>34</v>
      </c>
      <c r="S181" s="574"/>
      <c r="T181" s="574"/>
      <c r="U181" s="574"/>
      <c r="V181" s="575"/>
      <c r="W181" s="544" t="s">
        <v>35</v>
      </c>
      <c r="X181" s="2"/>
      <c r="Y181" s="567" t="s">
        <v>33</v>
      </c>
      <c r="Z181" s="570" t="s">
        <v>24</v>
      </c>
      <c r="AA181" s="571"/>
      <c r="AB181" s="571"/>
      <c r="AC181" s="572"/>
      <c r="AD181" s="573" t="s">
        <v>34</v>
      </c>
      <c r="AE181" s="574"/>
      <c r="AF181" s="574"/>
      <c r="AG181" s="574"/>
      <c r="AH181" s="575"/>
      <c r="AI181" s="544" t="s">
        <v>35</v>
      </c>
    </row>
    <row r="182" spans="1:35" ht="13.5" customHeight="1" x14ac:dyDescent="0.15">
      <c r="A182" s="696"/>
      <c r="B182" s="669" t="s">
        <v>28</v>
      </c>
      <c r="C182" s="667" t="s">
        <v>29</v>
      </c>
      <c r="D182" s="669" t="s">
        <v>25</v>
      </c>
      <c r="E182" s="678" t="s">
        <v>31</v>
      </c>
      <c r="F182" s="679" t="s">
        <v>36</v>
      </c>
      <c r="G182" s="680"/>
      <c r="H182" s="216"/>
      <c r="I182" s="667" t="s">
        <v>37</v>
      </c>
      <c r="J182" s="669" t="s">
        <v>38</v>
      </c>
      <c r="K182" s="668"/>
      <c r="L182" s="2"/>
      <c r="M182" s="568"/>
      <c r="N182" s="546" t="s">
        <v>28</v>
      </c>
      <c r="O182" s="544" t="s">
        <v>29</v>
      </c>
      <c r="P182" s="546" t="s">
        <v>25</v>
      </c>
      <c r="Q182" s="582" t="s">
        <v>31</v>
      </c>
      <c r="R182" s="540" t="s">
        <v>36</v>
      </c>
      <c r="S182" s="541"/>
      <c r="T182" s="135"/>
      <c r="U182" s="544" t="s">
        <v>37</v>
      </c>
      <c r="V182" s="546" t="s">
        <v>38</v>
      </c>
      <c r="W182" s="545"/>
      <c r="X182" s="2"/>
      <c r="Y182" s="568"/>
      <c r="Z182" s="546" t="s">
        <v>28</v>
      </c>
      <c r="AA182" s="544" t="s">
        <v>29</v>
      </c>
      <c r="AB182" s="546" t="s">
        <v>25</v>
      </c>
      <c r="AC182" s="582" t="s">
        <v>31</v>
      </c>
      <c r="AD182" s="540" t="s">
        <v>36</v>
      </c>
      <c r="AE182" s="541"/>
      <c r="AF182" s="135"/>
      <c r="AG182" s="544" t="s">
        <v>37</v>
      </c>
      <c r="AH182" s="546" t="s">
        <v>38</v>
      </c>
      <c r="AI182" s="545"/>
    </row>
    <row r="183" spans="1:35" x14ac:dyDescent="0.15">
      <c r="A183" s="696"/>
      <c r="B183" s="669"/>
      <c r="C183" s="668"/>
      <c r="D183" s="669"/>
      <c r="E183" s="669"/>
      <c r="F183" s="681"/>
      <c r="G183" s="682"/>
      <c r="H183" s="217"/>
      <c r="I183" s="668"/>
      <c r="J183" s="669"/>
      <c r="K183" s="668"/>
      <c r="L183" s="2"/>
      <c r="M183" s="568"/>
      <c r="N183" s="546"/>
      <c r="O183" s="545"/>
      <c r="P183" s="546"/>
      <c r="Q183" s="546"/>
      <c r="R183" s="542"/>
      <c r="S183" s="543"/>
      <c r="T183" s="136"/>
      <c r="U183" s="545"/>
      <c r="V183" s="546"/>
      <c r="W183" s="545"/>
      <c r="X183" s="2"/>
      <c r="Y183" s="568"/>
      <c r="Z183" s="546"/>
      <c r="AA183" s="545"/>
      <c r="AB183" s="546"/>
      <c r="AC183" s="546"/>
      <c r="AD183" s="542"/>
      <c r="AE183" s="543"/>
      <c r="AF183" s="136"/>
      <c r="AG183" s="545"/>
      <c r="AH183" s="546"/>
      <c r="AI183" s="545"/>
    </row>
    <row r="184" spans="1:35" ht="23.25" customHeight="1" x14ac:dyDescent="0.15">
      <c r="A184" s="696"/>
      <c r="B184" s="218" t="s">
        <v>13</v>
      </c>
      <c r="C184" s="219" t="s">
        <v>30</v>
      </c>
      <c r="D184" s="218" t="s">
        <v>14</v>
      </c>
      <c r="E184" s="218" t="s">
        <v>40</v>
      </c>
      <c r="F184" s="665" t="s">
        <v>15</v>
      </c>
      <c r="G184" s="666"/>
      <c r="H184" s="220"/>
      <c r="I184" s="219" t="s">
        <v>30</v>
      </c>
      <c r="J184" s="218" t="s">
        <v>40</v>
      </c>
      <c r="K184" s="218" t="s">
        <v>40</v>
      </c>
      <c r="L184" s="2"/>
      <c r="M184" s="568"/>
      <c r="N184" s="137" t="s">
        <v>152</v>
      </c>
      <c r="O184" s="138" t="s">
        <v>30</v>
      </c>
      <c r="P184" s="137" t="s">
        <v>14</v>
      </c>
      <c r="Q184" s="137" t="s">
        <v>40</v>
      </c>
      <c r="R184" s="549" t="s">
        <v>15</v>
      </c>
      <c r="S184" s="550"/>
      <c r="T184" s="139"/>
      <c r="U184" s="138" t="s">
        <v>30</v>
      </c>
      <c r="V184" s="137" t="s">
        <v>40</v>
      </c>
      <c r="W184" s="137" t="s">
        <v>40</v>
      </c>
      <c r="X184" s="2"/>
      <c r="Y184" s="568"/>
      <c r="Z184" s="137" t="s">
        <v>152</v>
      </c>
      <c r="AA184" s="138" t="s">
        <v>30</v>
      </c>
      <c r="AB184" s="137" t="s">
        <v>14</v>
      </c>
      <c r="AC184" s="137" t="s">
        <v>40</v>
      </c>
      <c r="AD184" s="549" t="s">
        <v>15</v>
      </c>
      <c r="AE184" s="550"/>
      <c r="AF184" s="139"/>
      <c r="AG184" s="138" t="s">
        <v>30</v>
      </c>
      <c r="AH184" s="137" t="s">
        <v>40</v>
      </c>
      <c r="AI184" s="137" t="s">
        <v>40</v>
      </c>
    </row>
    <row r="185" spans="1:35" ht="15.75" customHeight="1" thickBot="1" x14ac:dyDescent="0.2">
      <c r="A185" s="697"/>
      <c r="B185" s="221" t="s">
        <v>16</v>
      </c>
      <c r="C185" s="221" t="s">
        <v>17</v>
      </c>
      <c r="D185" s="221" t="s">
        <v>18</v>
      </c>
      <c r="E185" s="221" t="s">
        <v>19</v>
      </c>
      <c r="F185" s="222"/>
      <c r="G185" s="223" t="s">
        <v>20</v>
      </c>
      <c r="H185" s="223"/>
      <c r="I185" s="221" t="s">
        <v>21</v>
      </c>
      <c r="J185" s="221" t="s">
        <v>22</v>
      </c>
      <c r="K185" s="223" t="s">
        <v>23</v>
      </c>
      <c r="L185" s="2"/>
      <c r="M185" s="569"/>
      <c r="N185" s="122" t="s">
        <v>16</v>
      </c>
      <c r="O185" s="122" t="s">
        <v>17</v>
      </c>
      <c r="P185" s="122" t="s">
        <v>18</v>
      </c>
      <c r="Q185" s="122" t="s">
        <v>19</v>
      </c>
      <c r="R185" s="140"/>
      <c r="S185" s="141" t="s">
        <v>20</v>
      </c>
      <c r="T185" s="141"/>
      <c r="U185" s="122" t="s">
        <v>21</v>
      </c>
      <c r="V185" s="122" t="s">
        <v>22</v>
      </c>
      <c r="W185" s="141" t="s">
        <v>23</v>
      </c>
      <c r="X185" s="2"/>
      <c r="Y185" s="569"/>
      <c r="Z185" s="122" t="s">
        <v>16</v>
      </c>
      <c r="AA185" s="122" t="s">
        <v>17</v>
      </c>
      <c r="AB185" s="122" t="s">
        <v>18</v>
      </c>
      <c r="AC185" s="122" t="s">
        <v>19</v>
      </c>
      <c r="AD185" s="140"/>
      <c r="AE185" s="141" t="s">
        <v>20</v>
      </c>
      <c r="AF185" s="141"/>
      <c r="AG185" s="122" t="s">
        <v>21</v>
      </c>
      <c r="AH185" s="122" t="s">
        <v>22</v>
      </c>
      <c r="AI185" s="141" t="s">
        <v>23</v>
      </c>
    </row>
    <row r="186" spans="1:35" ht="30" customHeight="1" x14ac:dyDescent="0.15">
      <c r="A186" s="224" t="s">
        <v>83</v>
      </c>
      <c r="B186" s="225">
        <v>70</v>
      </c>
      <c r="C186" s="226">
        <v>1296</v>
      </c>
      <c r="D186" s="225">
        <v>100</v>
      </c>
      <c r="E186" s="228">
        <f t="shared" ref="E186:E197" si="87">ROUNDDOWN(B186*C186*((185-D186)/100),2)</f>
        <v>77112</v>
      </c>
      <c r="F186" s="229" t="s">
        <v>85</v>
      </c>
      <c r="G186" s="230">
        <v>9384</v>
      </c>
      <c r="H186" s="230"/>
      <c r="I186" s="226">
        <v>16.87</v>
      </c>
      <c r="J186" s="228">
        <f t="shared" ref="J186:J197" si="88">ROUNDDOWN(G186*I186,2)</f>
        <v>158308.07999999999</v>
      </c>
      <c r="K186" s="231">
        <f t="shared" ref="K186:K197" si="89">ROUNDDOWN(J186+E186,2)</f>
        <v>235420.08</v>
      </c>
      <c r="L186" s="2"/>
      <c r="M186" s="142" t="s">
        <v>83</v>
      </c>
      <c r="N186" s="143">
        <v>70</v>
      </c>
      <c r="O186" s="123">
        <v>2008.8</v>
      </c>
      <c r="P186" s="163">
        <v>100</v>
      </c>
      <c r="Q186" s="98">
        <f t="shared" ref="Q186:Q197" si="90">ROUNDDOWN(N186*O186*((185-P186)/100),2)</f>
        <v>119523.6</v>
      </c>
      <c r="R186" s="145" t="s">
        <v>85</v>
      </c>
      <c r="S186" s="146">
        <v>9384</v>
      </c>
      <c r="T186" s="146"/>
      <c r="U186" s="124">
        <v>11.87</v>
      </c>
      <c r="V186" s="98">
        <f t="shared" ref="V186:V197" si="91">ROUNDDOWN(S186*U186,2)</f>
        <v>111388.08</v>
      </c>
      <c r="W186" s="147">
        <f t="shared" ref="W186:W197" si="92">ROUNDDOWN(V186+Q186,2)</f>
        <v>230911.68</v>
      </c>
      <c r="X186" s="2"/>
      <c r="Y186" s="142" t="s">
        <v>83</v>
      </c>
      <c r="Z186" s="143">
        <v>60</v>
      </c>
      <c r="AA186" s="123">
        <v>2008.8</v>
      </c>
      <c r="AB186" s="163">
        <v>100</v>
      </c>
      <c r="AC186" s="98">
        <f t="shared" ref="AC186:AC197" si="93">ROUNDDOWN(Z186*AA186*((185-AB186)/100),2)</f>
        <v>102448.8</v>
      </c>
      <c r="AD186" s="145" t="s">
        <v>85</v>
      </c>
      <c r="AE186" s="146">
        <v>9384</v>
      </c>
      <c r="AF186" s="146"/>
      <c r="AG186" s="124">
        <v>11.87</v>
      </c>
      <c r="AH186" s="98">
        <f t="shared" ref="AH186:AH197" si="94">ROUNDDOWN(AE186*AG186,2)</f>
        <v>111388.08</v>
      </c>
      <c r="AI186" s="147">
        <f t="shared" ref="AI186:AI197" si="95">ROUNDDOWN(AH186+AC186,2)</f>
        <v>213836.88</v>
      </c>
    </row>
    <row r="187" spans="1:35" ht="30" customHeight="1" x14ac:dyDescent="0.15">
      <c r="A187" s="232" t="s">
        <v>72</v>
      </c>
      <c r="B187" s="233">
        <f t="shared" ref="B187:B197" si="96">B186</f>
        <v>70</v>
      </c>
      <c r="C187" s="234">
        <f t="shared" ref="C187:C197" si="97">C186</f>
        <v>1296</v>
      </c>
      <c r="D187" s="235">
        <f t="shared" ref="D187:D197" si="98">D186</f>
        <v>100</v>
      </c>
      <c r="E187" s="228">
        <f t="shared" si="87"/>
        <v>77112</v>
      </c>
      <c r="F187" s="229" t="s">
        <v>112</v>
      </c>
      <c r="G187" s="230">
        <v>9883</v>
      </c>
      <c r="H187" s="230"/>
      <c r="I187" s="234">
        <f>I186</f>
        <v>16.87</v>
      </c>
      <c r="J187" s="228">
        <f t="shared" si="88"/>
        <v>166726.21</v>
      </c>
      <c r="K187" s="231">
        <f t="shared" si="89"/>
        <v>243838.21</v>
      </c>
      <c r="L187" s="2"/>
      <c r="M187" s="148" t="s">
        <v>72</v>
      </c>
      <c r="N187" s="149">
        <f t="shared" ref="N187:N197" si="99">N186</f>
        <v>70</v>
      </c>
      <c r="O187" s="125">
        <f t="shared" ref="O187:O197" si="100">O186</f>
        <v>2008.8</v>
      </c>
      <c r="P187" s="106">
        <f t="shared" ref="P187:P197" si="101">P186</f>
        <v>100</v>
      </c>
      <c r="Q187" s="98">
        <f t="shared" si="90"/>
        <v>119523.6</v>
      </c>
      <c r="R187" s="145" t="s">
        <v>112</v>
      </c>
      <c r="S187" s="146">
        <v>9883</v>
      </c>
      <c r="T187" s="146"/>
      <c r="U187" s="125">
        <f>U186</f>
        <v>11.87</v>
      </c>
      <c r="V187" s="98">
        <f t="shared" si="91"/>
        <v>117311.21</v>
      </c>
      <c r="W187" s="147">
        <f t="shared" si="92"/>
        <v>236834.81</v>
      </c>
      <c r="X187" s="2"/>
      <c r="Y187" s="148" t="s">
        <v>72</v>
      </c>
      <c r="Z187" s="149">
        <f t="shared" ref="Z187:Z197" si="102">Z186</f>
        <v>60</v>
      </c>
      <c r="AA187" s="125">
        <f t="shared" ref="AA187:AA197" si="103">AA186</f>
        <v>2008.8</v>
      </c>
      <c r="AB187" s="106">
        <f t="shared" ref="AB187:AB197" si="104">AB186</f>
        <v>100</v>
      </c>
      <c r="AC187" s="98">
        <f t="shared" si="93"/>
        <v>102448.8</v>
      </c>
      <c r="AD187" s="145" t="s">
        <v>112</v>
      </c>
      <c r="AE187" s="146">
        <v>9883</v>
      </c>
      <c r="AF187" s="146"/>
      <c r="AG187" s="125">
        <f>AG186</f>
        <v>11.87</v>
      </c>
      <c r="AH187" s="98">
        <f t="shared" si="94"/>
        <v>117311.21</v>
      </c>
      <c r="AI187" s="147">
        <f t="shared" si="95"/>
        <v>219760.01</v>
      </c>
    </row>
    <row r="188" spans="1:35" ht="30" customHeight="1" x14ac:dyDescent="0.15">
      <c r="A188" s="232" t="s">
        <v>73</v>
      </c>
      <c r="B188" s="233">
        <f t="shared" si="96"/>
        <v>70</v>
      </c>
      <c r="C188" s="234">
        <f t="shared" si="97"/>
        <v>1296</v>
      </c>
      <c r="D188" s="235">
        <f t="shared" si="98"/>
        <v>100</v>
      </c>
      <c r="E188" s="228">
        <f t="shared" si="87"/>
        <v>77112</v>
      </c>
      <c r="F188" s="229" t="s">
        <v>9</v>
      </c>
      <c r="G188" s="230">
        <v>8252</v>
      </c>
      <c r="H188" s="230"/>
      <c r="I188" s="234">
        <f>I187</f>
        <v>16.87</v>
      </c>
      <c r="J188" s="228">
        <f t="shared" si="88"/>
        <v>139211.24</v>
      </c>
      <c r="K188" s="231">
        <f t="shared" si="89"/>
        <v>216323.24</v>
      </c>
      <c r="L188" s="2"/>
      <c r="M188" s="148" t="s">
        <v>73</v>
      </c>
      <c r="N188" s="149">
        <f t="shared" si="99"/>
        <v>70</v>
      </c>
      <c r="O188" s="125">
        <f t="shared" si="100"/>
        <v>2008.8</v>
      </c>
      <c r="P188" s="106">
        <f t="shared" si="101"/>
        <v>100</v>
      </c>
      <c r="Q188" s="98">
        <f t="shared" si="90"/>
        <v>119523.6</v>
      </c>
      <c r="R188" s="145" t="s">
        <v>9</v>
      </c>
      <c r="S188" s="146">
        <v>8252</v>
      </c>
      <c r="T188" s="146"/>
      <c r="U188" s="125">
        <f>U187</f>
        <v>11.87</v>
      </c>
      <c r="V188" s="98">
        <f t="shared" si="91"/>
        <v>97951.24</v>
      </c>
      <c r="W188" s="147">
        <f t="shared" si="92"/>
        <v>217474.84</v>
      </c>
      <c r="X188" s="2"/>
      <c r="Y188" s="148" t="s">
        <v>73</v>
      </c>
      <c r="Z188" s="149">
        <f t="shared" si="102"/>
        <v>60</v>
      </c>
      <c r="AA188" s="125">
        <f t="shared" si="103"/>
        <v>2008.8</v>
      </c>
      <c r="AB188" s="106">
        <f t="shared" si="104"/>
        <v>100</v>
      </c>
      <c r="AC188" s="98">
        <f t="shared" si="93"/>
        <v>102448.8</v>
      </c>
      <c r="AD188" s="145" t="s">
        <v>9</v>
      </c>
      <c r="AE188" s="146">
        <v>8252</v>
      </c>
      <c r="AF188" s="146"/>
      <c r="AG188" s="125">
        <f>AG187</f>
        <v>11.87</v>
      </c>
      <c r="AH188" s="98">
        <f t="shared" si="94"/>
        <v>97951.24</v>
      </c>
      <c r="AI188" s="147">
        <f t="shared" si="95"/>
        <v>200400.04</v>
      </c>
    </row>
    <row r="189" spans="1:35" ht="30" customHeight="1" x14ac:dyDescent="0.15">
      <c r="A189" s="232" t="s">
        <v>74</v>
      </c>
      <c r="B189" s="233">
        <f t="shared" si="96"/>
        <v>70</v>
      </c>
      <c r="C189" s="234">
        <f t="shared" si="97"/>
        <v>1296</v>
      </c>
      <c r="D189" s="235">
        <f t="shared" si="98"/>
        <v>100</v>
      </c>
      <c r="E189" s="228">
        <f t="shared" si="87"/>
        <v>77112</v>
      </c>
      <c r="F189" s="229" t="s">
        <v>9</v>
      </c>
      <c r="G189" s="230">
        <v>6648</v>
      </c>
      <c r="H189" s="230"/>
      <c r="I189" s="234">
        <f>I188</f>
        <v>16.87</v>
      </c>
      <c r="J189" s="228">
        <f t="shared" si="88"/>
        <v>112151.76</v>
      </c>
      <c r="K189" s="231">
        <f t="shared" si="89"/>
        <v>189263.76</v>
      </c>
      <c r="L189" s="2"/>
      <c r="M189" s="148" t="s">
        <v>74</v>
      </c>
      <c r="N189" s="149">
        <f t="shared" si="99"/>
        <v>70</v>
      </c>
      <c r="O189" s="125">
        <f t="shared" si="100"/>
        <v>2008.8</v>
      </c>
      <c r="P189" s="106">
        <f t="shared" si="101"/>
        <v>100</v>
      </c>
      <c r="Q189" s="98">
        <f t="shared" si="90"/>
        <v>119523.6</v>
      </c>
      <c r="R189" s="145" t="s">
        <v>9</v>
      </c>
      <c r="S189" s="146">
        <v>6648</v>
      </c>
      <c r="T189" s="146"/>
      <c r="U189" s="125">
        <f>U188</f>
        <v>11.87</v>
      </c>
      <c r="V189" s="98">
        <f t="shared" si="91"/>
        <v>78911.759999999995</v>
      </c>
      <c r="W189" s="147">
        <f t="shared" si="92"/>
        <v>198435.36</v>
      </c>
      <c r="X189" s="2"/>
      <c r="Y189" s="148" t="s">
        <v>74</v>
      </c>
      <c r="Z189" s="149">
        <f t="shared" si="102"/>
        <v>60</v>
      </c>
      <c r="AA189" s="125">
        <f t="shared" si="103"/>
        <v>2008.8</v>
      </c>
      <c r="AB189" s="106">
        <f t="shared" si="104"/>
        <v>100</v>
      </c>
      <c r="AC189" s="98">
        <f t="shared" si="93"/>
        <v>102448.8</v>
      </c>
      <c r="AD189" s="145" t="s">
        <v>9</v>
      </c>
      <c r="AE189" s="146">
        <v>6648</v>
      </c>
      <c r="AF189" s="146"/>
      <c r="AG189" s="125">
        <f>AG188</f>
        <v>11.87</v>
      </c>
      <c r="AH189" s="98">
        <f t="shared" si="94"/>
        <v>78911.759999999995</v>
      </c>
      <c r="AI189" s="147">
        <f t="shared" si="95"/>
        <v>181360.56</v>
      </c>
    </row>
    <row r="190" spans="1:35" ht="30" customHeight="1" x14ac:dyDescent="0.15">
      <c r="A190" s="232" t="s">
        <v>75</v>
      </c>
      <c r="B190" s="233">
        <f t="shared" si="96"/>
        <v>70</v>
      </c>
      <c r="C190" s="234">
        <f t="shared" si="97"/>
        <v>1296</v>
      </c>
      <c r="D190" s="235">
        <f t="shared" si="98"/>
        <v>100</v>
      </c>
      <c r="E190" s="228">
        <f t="shared" si="87"/>
        <v>77112</v>
      </c>
      <c r="F190" s="229" t="s">
        <v>9</v>
      </c>
      <c r="G190" s="230">
        <v>7584</v>
      </c>
      <c r="H190" s="230"/>
      <c r="I190" s="234">
        <f>I189</f>
        <v>16.87</v>
      </c>
      <c r="J190" s="228">
        <f t="shared" si="88"/>
        <v>127942.08</v>
      </c>
      <c r="K190" s="231">
        <f t="shared" si="89"/>
        <v>205054.07999999999</v>
      </c>
      <c r="L190" s="2"/>
      <c r="M190" s="148" t="s">
        <v>75</v>
      </c>
      <c r="N190" s="149">
        <f t="shared" si="99"/>
        <v>70</v>
      </c>
      <c r="O190" s="125">
        <f t="shared" si="100"/>
        <v>2008.8</v>
      </c>
      <c r="P190" s="106">
        <f t="shared" si="101"/>
        <v>100</v>
      </c>
      <c r="Q190" s="98">
        <f t="shared" si="90"/>
        <v>119523.6</v>
      </c>
      <c r="R190" s="145" t="s">
        <v>9</v>
      </c>
      <c r="S190" s="146">
        <v>7584</v>
      </c>
      <c r="T190" s="146"/>
      <c r="U190" s="125">
        <f>U189</f>
        <v>11.87</v>
      </c>
      <c r="V190" s="98">
        <f t="shared" si="91"/>
        <v>90022.080000000002</v>
      </c>
      <c r="W190" s="147">
        <f t="shared" si="92"/>
        <v>209545.68</v>
      </c>
      <c r="X190" s="2"/>
      <c r="Y190" s="148" t="s">
        <v>75</v>
      </c>
      <c r="Z190" s="149">
        <f t="shared" si="102"/>
        <v>60</v>
      </c>
      <c r="AA190" s="125">
        <f t="shared" si="103"/>
        <v>2008.8</v>
      </c>
      <c r="AB190" s="106">
        <f t="shared" si="104"/>
        <v>100</v>
      </c>
      <c r="AC190" s="98">
        <f t="shared" si="93"/>
        <v>102448.8</v>
      </c>
      <c r="AD190" s="145" t="s">
        <v>9</v>
      </c>
      <c r="AE190" s="146">
        <v>7584</v>
      </c>
      <c r="AF190" s="146"/>
      <c r="AG190" s="125">
        <f>AG189</f>
        <v>11.87</v>
      </c>
      <c r="AH190" s="98">
        <f t="shared" si="94"/>
        <v>90022.080000000002</v>
      </c>
      <c r="AI190" s="147">
        <f t="shared" si="95"/>
        <v>192470.88</v>
      </c>
    </row>
    <row r="191" spans="1:35" ht="30" customHeight="1" x14ac:dyDescent="0.15">
      <c r="A191" s="232" t="s">
        <v>76</v>
      </c>
      <c r="B191" s="233">
        <f t="shared" si="96"/>
        <v>70</v>
      </c>
      <c r="C191" s="234">
        <f t="shared" si="97"/>
        <v>1296</v>
      </c>
      <c r="D191" s="235">
        <f t="shared" si="98"/>
        <v>100</v>
      </c>
      <c r="E191" s="228">
        <f t="shared" si="87"/>
        <v>77112</v>
      </c>
      <c r="F191" s="229" t="s">
        <v>9</v>
      </c>
      <c r="G191" s="230">
        <v>9210</v>
      </c>
      <c r="H191" s="230"/>
      <c r="I191" s="234">
        <f>I190</f>
        <v>16.87</v>
      </c>
      <c r="J191" s="228">
        <f t="shared" si="88"/>
        <v>155372.70000000001</v>
      </c>
      <c r="K191" s="231">
        <f t="shared" si="89"/>
        <v>232484.7</v>
      </c>
      <c r="L191" s="2"/>
      <c r="M191" s="148" t="s">
        <v>76</v>
      </c>
      <c r="N191" s="149">
        <f t="shared" si="99"/>
        <v>70</v>
      </c>
      <c r="O191" s="125">
        <f t="shared" si="100"/>
        <v>2008.8</v>
      </c>
      <c r="P191" s="106">
        <f t="shared" si="101"/>
        <v>100</v>
      </c>
      <c r="Q191" s="98">
        <f t="shared" si="90"/>
        <v>119523.6</v>
      </c>
      <c r="R191" s="145" t="s">
        <v>9</v>
      </c>
      <c r="S191" s="146">
        <v>9210</v>
      </c>
      <c r="T191" s="146"/>
      <c r="U191" s="125">
        <f>U190</f>
        <v>11.87</v>
      </c>
      <c r="V191" s="98">
        <f t="shared" si="91"/>
        <v>109322.7</v>
      </c>
      <c r="W191" s="147">
        <f t="shared" si="92"/>
        <v>228846.3</v>
      </c>
      <c r="X191" s="2"/>
      <c r="Y191" s="148" t="s">
        <v>76</v>
      </c>
      <c r="Z191" s="149">
        <f t="shared" si="102"/>
        <v>60</v>
      </c>
      <c r="AA191" s="125">
        <f t="shared" si="103"/>
        <v>2008.8</v>
      </c>
      <c r="AB191" s="106">
        <f t="shared" si="104"/>
        <v>100</v>
      </c>
      <c r="AC191" s="98">
        <f t="shared" si="93"/>
        <v>102448.8</v>
      </c>
      <c r="AD191" s="145" t="s">
        <v>9</v>
      </c>
      <c r="AE191" s="146">
        <v>9210</v>
      </c>
      <c r="AF191" s="146"/>
      <c r="AG191" s="125">
        <f>AG190</f>
        <v>11.87</v>
      </c>
      <c r="AH191" s="98">
        <f t="shared" si="94"/>
        <v>109322.7</v>
      </c>
      <c r="AI191" s="147">
        <f t="shared" si="95"/>
        <v>211771.5</v>
      </c>
    </row>
    <row r="192" spans="1:35" ht="30" customHeight="1" x14ac:dyDescent="0.15">
      <c r="A192" s="232" t="s">
        <v>77</v>
      </c>
      <c r="B192" s="233">
        <f t="shared" si="96"/>
        <v>70</v>
      </c>
      <c r="C192" s="234">
        <f t="shared" si="97"/>
        <v>1296</v>
      </c>
      <c r="D192" s="235">
        <f t="shared" si="98"/>
        <v>100</v>
      </c>
      <c r="E192" s="228">
        <f t="shared" si="87"/>
        <v>77112</v>
      </c>
      <c r="F192" s="229" t="s">
        <v>71</v>
      </c>
      <c r="G192" s="230">
        <v>8352</v>
      </c>
      <c r="H192" s="230"/>
      <c r="I192" s="226">
        <v>18.29</v>
      </c>
      <c r="J192" s="228">
        <f t="shared" si="88"/>
        <v>152758.07999999999</v>
      </c>
      <c r="K192" s="231">
        <f t="shared" si="89"/>
        <v>229870.07999999999</v>
      </c>
      <c r="L192" s="2"/>
      <c r="M192" s="148" t="s">
        <v>77</v>
      </c>
      <c r="N192" s="149">
        <f t="shared" si="99"/>
        <v>70</v>
      </c>
      <c r="O192" s="125">
        <f t="shared" si="100"/>
        <v>2008.8</v>
      </c>
      <c r="P192" s="106">
        <f t="shared" si="101"/>
        <v>100</v>
      </c>
      <c r="Q192" s="98">
        <f t="shared" si="90"/>
        <v>119523.6</v>
      </c>
      <c r="R192" s="145" t="s">
        <v>71</v>
      </c>
      <c r="S192" s="146">
        <v>8352</v>
      </c>
      <c r="T192" s="146"/>
      <c r="U192" s="124">
        <v>12.78</v>
      </c>
      <c r="V192" s="98">
        <f t="shared" si="91"/>
        <v>106738.56</v>
      </c>
      <c r="W192" s="147">
        <f t="shared" si="92"/>
        <v>226262.16</v>
      </c>
      <c r="X192" s="2"/>
      <c r="Y192" s="148" t="s">
        <v>77</v>
      </c>
      <c r="Z192" s="149">
        <f t="shared" si="102"/>
        <v>60</v>
      </c>
      <c r="AA192" s="125">
        <f t="shared" si="103"/>
        <v>2008.8</v>
      </c>
      <c r="AB192" s="106">
        <f t="shared" si="104"/>
        <v>100</v>
      </c>
      <c r="AC192" s="98">
        <f t="shared" si="93"/>
        <v>102448.8</v>
      </c>
      <c r="AD192" s="145" t="s">
        <v>71</v>
      </c>
      <c r="AE192" s="146">
        <v>8352</v>
      </c>
      <c r="AF192" s="146"/>
      <c r="AG192" s="124">
        <v>12.78</v>
      </c>
      <c r="AH192" s="98">
        <f t="shared" si="94"/>
        <v>106738.56</v>
      </c>
      <c r="AI192" s="147">
        <f t="shared" si="95"/>
        <v>209187.36</v>
      </c>
    </row>
    <row r="193" spans="1:35" ht="30" customHeight="1" x14ac:dyDescent="0.15">
      <c r="A193" s="232" t="s">
        <v>78</v>
      </c>
      <c r="B193" s="233">
        <f t="shared" si="96"/>
        <v>70</v>
      </c>
      <c r="C193" s="234">
        <f t="shared" si="97"/>
        <v>1296</v>
      </c>
      <c r="D193" s="235">
        <f t="shared" si="98"/>
        <v>100</v>
      </c>
      <c r="E193" s="228">
        <f t="shared" si="87"/>
        <v>77112</v>
      </c>
      <c r="F193" s="229" t="s">
        <v>71</v>
      </c>
      <c r="G193" s="230">
        <v>6594</v>
      </c>
      <c r="H193" s="230"/>
      <c r="I193" s="234">
        <f>I192</f>
        <v>18.29</v>
      </c>
      <c r="J193" s="228">
        <f t="shared" si="88"/>
        <v>120604.26</v>
      </c>
      <c r="K193" s="231">
        <f t="shared" si="89"/>
        <v>197716.26</v>
      </c>
      <c r="L193" s="2"/>
      <c r="M193" s="148" t="s">
        <v>78</v>
      </c>
      <c r="N193" s="149">
        <f t="shared" si="99"/>
        <v>70</v>
      </c>
      <c r="O193" s="125">
        <f t="shared" si="100"/>
        <v>2008.8</v>
      </c>
      <c r="P193" s="106">
        <f t="shared" si="101"/>
        <v>100</v>
      </c>
      <c r="Q193" s="98">
        <f t="shared" si="90"/>
        <v>119523.6</v>
      </c>
      <c r="R193" s="145" t="s">
        <v>71</v>
      </c>
      <c r="S193" s="146">
        <v>6594</v>
      </c>
      <c r="T193" s="146"/>
      <c r="U193" s="125">
        <f>U192</f>
        <v>12.78</v>
      </c>
      <c r="V193" s="98">
        <f t="shared" si="91"/>
        <v>84271.32</v>
      </c>
      <c r="W193" s="147">
        <f t="shared" si="92"/>
        <v>203794.92</v>
      </c>
      <c r="X193" s="2"/>
      <c r="Y193" s="148" t="s">
        <v>78</v>
      </c>
      <c r="Z193" s="149">
        <f t="shared" si="102"/>
        <v>60</v>
      </c>
      <c r="AA193" s="125">
        <f t="shared" si="103"/>
        <v>2008.8</v>
      </c>
      <c r="AB193" s="106">
        <f t="shared" si="104"/>
        <v>100</v>
      </c>
      <c r="AC193" s="98">
        <f t="shared" si="93"/>
        <v>102448.8</v>
      </c>
      <c r="AD193" s="145" t="s">
        <v>71</v>
      </c>
      <c r="AE193" s="146">
        <v>6594</v>
      </c>
      <c r="AF193" s="146"/>
      <c r="AG193" s="125">
        <f>AG192</f>
        <v>12.78</v>
      </c>
      <c r="AH193" s="98">
        <f t="shared" si="94"/>
        <v>84271.32</v>
      </c>
      <c r="AI193" s="147">
        <f t="shared" si="95"/>
        <v>186720.12</v>
      </c>
    </row>
    <row r="194" spans="1:35" ht="30" customHeight="1" x14ac:dyDescent="0.15">
      <c r="A194" s="232" t="s">
        <v>79</v>
      </c>
      <c r="B194" s="233">
        <f t="shared" si="96"/>
        <v>70</v>
      </c>
      <c r="C194" s="234">
        <f t="shared" si="97"/>
        <v>1296</v>
      </c>
      <c r="D194" s="235">
        <f t="shared" si="98"/>
        <v>100</v>
      </c>
      <c r="E194" s="228">
        <f t="shared" si="87"/>
        <v>77112</v>
      </c>
      <c r="F194" s="229" t="s">
        <v>71</v>
      </c>
      <c r="G194" s="230">
        <f>7051+1763</f>
        <v>8814</v>
      </c>
      <c r="H194" s="230"/>
      <c r="I194" s="234">
        <f>I193</f>
        <v>18.29</v>
      </c>
      <c r="J194" s="228">
        <f t="shared" si="88"/>
        <v>161208.06</v>
      </c>
      <c r="K194" s="231">
        <f t="shared" si="89"/>
        <v>238320.06</v>
      </c>
      <c r="L194" s="2"/>
      <c r="M194" s="148" t="s">
        <v>79</v>
      </c>
      <c r="N194" s="149">
        <f t="shared" si="99"/>
        <v>70</v>
      </c>
      <c r="O194" s="125">
        <f t="shared" si="100"/>
        <v>2008.8</v>
      </c>
      <c r="P194" s="106">
        <f t="shared" si="101"/>
        <v>100</v>
      </c>
      <c r="Q194" s="98">
        <f t="shared" si="90"/>
        <v>119523.6</v>
      </c>
      <c r="R194" s="145" t="s">
        <v>71</v>
      </c>
      <c r="S194" s="146">
        <f>7051+1763</f>
        <v>8814</v>
      </c>
      <c r="T194" s="146"/>
      <c r="U194" s="125">
        <f>U193</f>
        <v>12.78</v>
      </c>
      <c r="V194" s="98">
        <f t="shared" si="91"/>
        <v>112642.92</v>
      </c>
      <c r="W194" s="147">
        <f t="shared" si="92"/>
        <v>232166.52</v>
      </c>
      <c r="X194" s="2"/>
      <c r="Y194" s="148" t="s">
        <v>79</v>
      </c>
      <c r="Z194" s="149">
        <f t="shared" si="102"/>
        <v>60</v>
      </c>
      <c r="AA194" s="125">
        <f t="shared" si="103"/>
        <v>2008.8</v>
      </c>
      <c r="AB194" s="106">
        <f t="shared" si="104"/>
        <v>100</v>
      </c>
      <c r="AC194" s="98">
        <f t="shared" si="93"/>
        <v>102448.8</v>
      </c>
      <c r="AD194" s="145" t="s">
        <v>71</v>
      </c>
      <c r="AE194" s="146">
        <f>7051+1763</f>
        <v>8814</v>
      </c>
      <c r="AF194" s="146"/>
      <c r="AG194" s="125">
        <f>AG193</f>
        <v>12.78</v>
      </c>
      <c r="AH194" s="98">
        <f t="shared" si="94"/>
        <v>112642.92</v>
      </c>
      <c r="AI194" s="147">
        <f t="shared" si="95"/>
        <v>215091.72</v>
      </c>
    </row>
    <row r="195" spans="1:35" ht="30" customHeight="1" x14ac:dyDescent="0.15">
      <c r="A195" s="232" t="s">
        <v>80</v>
      </c>
      <c r="B195" s="233">
        <f t="shared" si="96"/>
        <v>70</v>
      </c>
      <c r="C195" s="234">
        <f t="shared" si="97"/>
        <v>1296</v>
      </c>
      <c r="D195" s="235">
        <f t="shared" si="98"/>
        <v>100</v>
      </c>
      <c r="E195" s="228">
        <f t="shared" si="87"/>
        <v>77112</v>
      </c>
      <c r="F195" s="229" t="s">
        <v>9</v>
      </c>
      <c r="G195" s="230">
        <v>7428</v>
      </c>
      <c r="H195" s="230"/>
      <c r="I195" s="234">
        <f>I186</f>
        <v>16.87</v>
      </c>
      <c r="J195" s="228">
        <f t="shared" si="88"/>
        <v>125310.36</v>
      </c>
      <c r="K195" s="231">
        <f t="shared" si="89"/>
        <v>202422.36</v>
      </c>
      <c r="L195" s="2"/>
      <c r="M195" s="148" t="s">
        <v>80</v>
      </c>
      <c r="N195" s="149">
        <f t="shared" si="99"/>
        <v>70</v>
      </c>
      <c r="O195" s="125">
        <f t="shared" si="100"/>
        <v>2008.8</v>
      </c>
      <c r="P195" s="106">
        <f t="shared" si="101"/>
        <v>100</v>
      </c>
      <c r="Q195" s="98">
        <f t="shared" si="90"/>
        <v>119523.6</v>
      </c>
      <c r="R195" s="145" t="s">
        <v>9</v>
      </c>
      <c r="S195" s="146">
        <v>7428</v>
      </c>
      <c r="T195" s="146"/>
      <c r="U195" s="125">
        <f>U186</f>
        <v>11.87</v>
      </c>
      <c r="V195" s="98">
        <f t="shared" si="91"/>
        <v>88170.36</v>
      </c>
      <c r="W195" s="147">
        <f t="shared" si="92"/>
        <v>207693.96</v>
      </c>
      <c r="X195" s="2"/>
      <c r="Y195" s="148" t="s">
        <v>80</v>
      </c>
      <c r="Z195" s="149">
        <f t="shared" si="102"/>
        <v>60</v>
      </c>
      <c r="AA195" s="125">
        <f t="shared" si="103"/>
        <v>2008.8</v>
      </c>
      <c r="AB195" s="106">
        <f t="shared" si="104"/>
        <v>100</v>
      </c>
      <c r="AC195" s="98">
        <f t="shared" si="93"/>
        <v>102448.8</v>
      </c>
      <c r="AD195" s="145" t="s">
        <v>9</v>
      </c>
      <c r="AE195" s="146">
        <v>7428</v>
      </c>
      <c r="AF195" s="146"/>
      <c r="AG195" s="125">
        <f>AG186</f>
        <v>11.87</v>
      </c>
      <c r="AH195" s="98">
        <f t="shared" si="94"/>
        <v>88170.36</v>
      </c>
      <c r="AI195" s="147">
        <f t="shared" si="95"/>
        <v>190619.16</v>
      </c>
    </row>
    <row r="196" spans="1:35" ht="30" customHeight="1" x14ac:dyDescent="0.15">
      <c r="A196" s="232" t="s">
        <v>81</v>
      </c>
      <c r="B196" s="233">
        <f t="shared" si="96"/>
        <v>70</v>
      </c>
      <c r="C196" s="234">
        <f t="shared" si="97"/>
        <v>1296</v>
      </c>
      <c r="D196" s="235">
        <f t="shared" si="98"/>
        <v>100</v>
      </c>
      <c r="E196" s="228">
        <f t="shared" si="87"/>
        <v>77112</v>
      </c>
      <c r="F196" s="229" t="s">
        <v>9</v>
      </c>
      <c r="G196" s="230">
        <v>7722</v>
      </c>
      <c r="H196" s="230"/>
      <c r="I196" s="236">
        <f>I195</f>
        <v>16.87</v>
      </c>
      <c r="J196" s="228">
        <f t="shared" si="88"/>
        <v>130270.14</v>
      </c>
      <c r="K196" s="231">
        <f t="shared" si="89"/>
        <v>207382.14</v>
      </c>
      <c r="L196" s="89"/>
      <c r="M196" s="148" t="s">
        <v>81</v>
      </c>
      <c r="N196" s="149">
        <f t="shared" si="99"/>
        <v>70</v>
      </c>
      <c r="O196" s="125">
        <f t="shared" si="100"/>
        <v>2008.8</v>
      </c>
      <c r="P196" s="106">
        <f t="shared" si="101"/>
        <v>100</v>
      </c>
      <c r="Q196" s="98">
        <f t="shared" si="90"/>
        <v>119523.6</v>
      </c>
      <c r="R196" s="145" t="s">
        <v>9</v>
      </c>
      <c r="S196" s="146">
        <v>7722</v>
      </c>
      <c r="T196" s="146"/>
      <c r="U196" s="127">
        <f>U195</f>
        <v>11.87</v>
      </c>
      <c r="V196" s="98">
        <f t="shared" si="91"/>
        <v>91660.14</v>
      </c>
      <c r="W196" s="147">
        <f t="shared" si="92"/>
        <v>211183.74</v>
      </c>
      <c r="X196" s="89"/>
      <c r="Y196" s="148" t="s">
        <v>81</v>
      </c>
      <c r="Z196" s="149">
        <f t="shared" si="102"/>
        <v>60</v>
      </c>
      <c r="AA196" s="125">
        <f t="shared" si="103"/>
        <v>2008.8</v>
      </c>
      <c r="AB196" s="106">
        <f t="shared" si="104"/>
        <v>100</v>
      </c>
      <c r="AC196" s="98">
        <f t="shared" si="93"/>
        <v>102448.8</v>
      </c>
      <c r="AD196" s="145" t="s">
        <v>9</v>
      </c>
      <c r="AE196" s="146">
        <v>7722</v>
      </c>
      <c r="AF196" s="146"/>
      <c r="AG196" s="127">
        <f>AG195</f>
        <v>11.87</v>
      </c>
      <c r="AH196" s="98">
        <f t="shared" si="94"/>
        <v>91660.14</v>
      </c>
      <c r="AI196" s="147">
        <f t="shared" si="95"/>
        <v>194108.94</v>
      </c>
    </row>
    <row r="197" spans="1:35" ht="30" customHeight="1" thickBot="1" x14ac:dyDescent="0.2">
      <c r="A197" s="237" t="s">
        <v>82</v>
      </c>
      <c r="B197" s="238">
        <f t="shared" si="96"/>
        <v>70</v>
      </c>
      <c r="C197" s="239">
        <f t="shared" si="97"/>
        <v>1296</v>
      </c>
      <c r="D197" s="238">
        <f t="shared" si="98"/>
        <v>100</v>
      </c>
      <c r="E197" s="240">
        <f t="shared" si="87"/>
        <v>77112</v>
      </c>
      <c r="F197" s="241" t="s">
        <v>9</v>
      </c>
      <c r="G197" s="242">
        <v>6264</v>
      </c>
      <c r="H197" s="242"/>
      <c r="I197" s="239">
        <f>I196</f>
        <v>16.87</v>
      </c>
      <c r="J197" s="240">
        <f t="shared" si="88"/>
        <v>105673.68</v>
      </c>
      <c r="K197" s="243">
        <f t="shared" si="89"/>
        <v>182785.68</v>
      </c>
      <c r="L197" s="89"/>
      <c r="M197" s="150" t="s">
        <v>82</v>
      </c>
      <c r="N197" s="151">
        <f t="shared" si="99"/>
        <v>70</v>
      </c>
      <c r="O197" s="126">
        <f t="shared" si="100"/>
        <v>2008.8</v>
      </c>
      <c r="P197" s="152">
        <f t="shared" si="101"/>
        <v>100</v>
      </c>
      <c r="Q197" s="99">
        <f t="shared" si="90"/>
        <v>119523.6</v>
      </c>
      <c r="R197" s="153" t="s">
        <v>9</v>
      </c>
      <c r="S197" s="154">
        <v>6264</v>
      </c>
      <c r="T197" s="154"/>
      <c r="U197" s="126">
        <f>U196</f>
        <v>11.87</v>
      </c>
      <c r="V197" s="99">
        <f t="shared" si="91"/>
        <v>74353.679999999993</v>
      </c>
      <c r="W197" s="155">
        <f t="shared" si="92"/>
        <v>193877.28</v>
      </c>
      <c r="X197" s="89"/>
      <c r="Y197" s="150" t="s">
        <v>82</v>
      </c>
      <c r="Z197" s="151">
        <f t="shared" si="102"/>
        <v>60</v>
      </c>
      <c r="AA197" s="126">
        <f t="shared" si="103"/>
        <v>2008.8</v>
      </c>
      <c r="AB197" s="152">
        <f t="shared" si="104"/>
        <v>100</v>
      </c>
      <c r="AC197" s="99">
        <f t="shared" si="93"/>
        <v>102448.8</v>
      </c>
      <c r="AD197" s="153" t="s">
        <v>9</v>
      </c>
      <c r="AE197" s="154">
        <v>6264</v>
      </c>
      <c r="AF197" s="154"/>
      <c r="AG197" s="126">
        <f>AG196</f>
        <v>11.87</v>
      </c>
      <c r="AH197" s="99">
        <f t="shared" si="94"/>
        <v>74353.679999999993</v>
      </c>
      <c r="AI197" s="155">
        <f t="shared" si="95"/>
        <v>176802.48</v>
      </c>
    </row>
    <row r="198" spans="1:35" ht="30" customHeight="1" thickBot="1" x14ac:dyDescent="0.2">
      <c r="A198" s="251" t="s">
        <v>41</v>
      </c>
      <c r="B198" s="245"/>
      <c r="C198" s="245"/>
      <c r="D198" s="245"/>
      <c r="E198" s="246">
        <f>SUM(E186:E197)</f>
        <v>925344</v>
      </c>
      <c r="F198" s="247"/>
      <c r="G198" s="248">
        <f>SUM(G186:G197)</f>
        <v>96135</v>
      </c>
      <c r="H198" s="248"/>
      <c r="I198" s="245"/>
      <c r="J198" s="304">
        <f>SUM(J186:J197)</f>
        <v>1655536.6499999997</v>
      </c>
      <c r="K198" s="305">
        <f>SUM(K186:K197)</f>
        <v>2580880.6500000004</v>
      </c>
      <c r="L198" s="89" t="s">
        <v>113</v>
      </c>
      <c r="M198" s="164" t="s">
        <v>41</v>
      </c>
      <c r="N198" s="157"/>
      <c r="O198" s="157"/>
      <c r="P198" s="157"/>
      <c r="Q198" s="158">
        <f>SUM(Q186:Q197)</f>
        <v>1434283.2000000002</v>
      </c>
      <c r="R198" s="159"/>
      <c r="S198" s="160">
        <f>SUM(S186:S197)</f>
        <v>96135</v>
      </c>
      <c r="T198" s="160"/>
      <c r="U198" s="157"/>
      <c r="V198" s="189">
        <f>SUM(V186:V197)</f>
        <v>1162744.05</v>
      </c>
      <c r="W198" s="192">
        <f>SUM(W186:W197)</f>
        <v>2597027.2499999995</v>
      </c>
      <c r="X198" s="89" t="s">
        <v>113</v>
      </c>
      <c r="Y198" s="164" t="s">
        <v>41</v>
      </c>
      <c r="Z198" s="157"/>
      <c r="AA198" s="157"/>
      <c r="AB198" s="157"/>
      <c r="AC198" s="158">
        <f>SUM(AC186:AC197)</f>
        <v>1229385.6000000003</v>
      </c>
      <c r="AD198" s="159"/>
      <c r="AE198" s="160">
        <f>SUM(AE186:AE197)</f>
        <v>96135</v>
      </c>
      <c r="AF198" s="160"/>
      <c r="AG198" s="157"/>
      <c r="AH198" s="189">
        <f>SUM(AH186:AH197)</f>
        <v>1162744.05</v>
      </c>
      <c r="AI198" s="192">
        <f>SUM(AI186:AI197)</f>
        <v>2392129.65</v>
      </c>
    </row>
    <row r="199" spans="1:35" ht="15" customHeight="1" x14ac:dyDescent="0.15">
      <c r="A199" s="214"/>
      <c r="B199" s="250"/>
      <c r="C199" s="250"/>
      <c r="D199" s="250"/>
      <c r="E199" s="250"/>
      <c r="F199" s="250"/>
      <c r="G199" s="250"/>
      <c r="H199" s="250"/>
      <c r="I199" s="250"/>
      <c r="J199" s="307"/>
      <c r="K199" s="307"/>
      <c r="L199" s="89"/>
      <c r="N199" s="162"/>
      <c r="O199" s="162"/>
      <c r="P199" s="162"/>
      <c r="Q199" s="162"/>
      <c r="R199" s="162"/>
      <c r="S199" s="162"/>
      <c r="T199" s="162"/>
      <c r="U199" s="162"/>
      <c r="V199" s="194"/>
      <c r="W199" s="194"/>
      <c r="X199" s="89"/>
      <c r="Z199" s="162"/>
      <c r="AA199" s="162"/>
      <c r="AB199" s="162"/>
      <c r="AC199" s="162"/>
      <c r="AD199" s="162"/>
      <c r="AE199" s="162"/>
      <c r="AF199" s="162"/>
      <c r="AG199" s="162"/>
      <c r="AH199" s="194"/>
      <c r="AI199" s="194"/>
    </row>
    <row r="200" spans="1:35" x14ac:dyDescent="0.15">
      <c r="A200" s="211" t="s">
        <v>153</v>
      </c>
      <c r="B200" s="212">
        <f>B175+1</f>
        <v>7</v>
      </c>
      <c r="C200" s="213"/>
      <c r="D200" s="213"/>
      <c r="E200" s="213"/>
      <c r="F200" s="213"/>
      <c r="G200" s="213"/>
      <c r="H200" s="213"/>
      <c r="I200" s="213"/>
      <c r="J200" s="213"/>
      <c r="K200" s="692" t="str">
        <f>IF(K223-W223&lt;=0,"現状のまま","メニュー変更")</f>
        <v>現状のまま</v>
      </c>
      <c r="L200" s="2"/>
      <c r="M200" s="47" t="s">
        <v>153</v>
      </c>
      <c r="N200" s="62">
        <f>N175+1</f>
        <v>7</v>
      </c>
      <c r="X200" s="2"/>
      <c r="Y200" s="47" t="s">
        <v>153</v>
      </c>
      <c r="Z200" s="62" t="e">
        <f>#REF!+1</f>
        <v>#REF!</v>
      </c>
    </row>
    <row r="201" spans="1:35" x14ac:dyDescent="0.15">
      <c r="A201" s="214"/>
      <c r="B201" s="213"/>
      <c r="C201" s="213"/>
      <c r="D201" s="213"/>
      <c r="E201" s="213"/>
      <c r="F201" s="213"/>
      <c r="G201" s="213"/>
      <c r="H201" s="213"/>
      <c r="I201" s="213"/>
      <c r="J201" s="213"/>
      <c r="K201" s="692"/>
      <c r="L201" s="2"/>
      <c r="X201" s="2"/>
    </row>
    <row r="202" spans="1:35" x14ac:dyDescent="0.15">
      <c r="A202" s="214"/>
      <c r="B202" s="213"/>
      <c r="C202" s="213"/>
      <c r="D202" s="213"/>
      <c r="E202" s="213"/>
      <c r="F202" s="213"/>
      <c r="G202" s="213"/>
      <c r="H202" s="213"/>
      <c r="I202" s="213"/>
      <c r="J202" s="213"/>
      <c r="K202" s="692"/>
      <c r="L202" s="2"/>
      <c r="X202" s="2"/>
    </row>
    <row r="203" spans="1:35" ht="17.25" x14ac:dyDescent="0.15">
      <c r="A203" s="694" t="str">
        <f>$A$5</f>
        <v>平成29年度小郡市役所庁舎外25施設電力需給</v>
      </c>
      <c r="B203" s="694"/>
      <c r="C203" s="694"/>
      <c r="D203" s="694"/>
      <c r="E203" s="694"/>
      <c r="F203" s="694"/>
      <c r="G203" s="694"/>
      <c r="H203" s="694"/>
      <c r="I203" s="694"/>
      <c r="J203" s="694"/>
      <c r="K203" s="694"/>
      <c r="L203" s="2"/>
      <c r="M203" s="553" t="str">
        <f>$A$5</f>
        <v>平成29年度小郡市役所庁舎外25施設電力需給</v>
      </c>
      <c r="N203" s="553"/>
      <c r="O203" s="553"/>
      <c r="P203" s="553"/>
      <c r="Q203" s="553"/>
      <c r="R203" s="553"/>
      <c r="S203" s="553"/>
      <c r="T203" s="553"/>
      <c r="U203" s="553"/>
      <c r="V203" s="553"/>
      <c r="W203" s="553"/>
      <c r="X203" s="2"/>
      <c r="Y203" s="553" t="str">
        <f>$A$5</f>
        <v>平成29年度小郡市役所庁舎外25施設電力需給</v>
      </c>
      <c r="Z203" s="553"/>
      <c r="AA203" s="553"/>
      <c r="AB203" s="553"/>
      <c r="AC203" s="553"/>
      <c r="AD203" s="553"/>
      <c r="AE203" s="553"/>
      <c r="AF203" s="553"/>
      <c r="AG203" s="553"/>
      <c r="AH203" s="553"/>
      <c r="AI203" s="553"/>
    </row>
    <row r="204" spans="1:35" x14ac:dyDescent="0.15">
      <c r="A204" s="689" t="str">
        <f>$A$6</f>
        <v>（平成３０年１月～平成３０年１２月期間中の予定金額）</v>
      </c>
      <c r="B204" s="689"/>
      <c r="C204" s="689"/>
      <c r="D204" s="689"/>
      <c r="E204" s="689"/>
      <c r="F204" s="689"/>
      <c r="G204" s="689"/>
      <c r="H204" s="689"/>
      <c r="I204" s="689"/>
      <c r="J204" s="689"/>
      <c r="K204" s="689"/>
      <c r="L204" s="2"/>
      <c r="M204" s="555" t="str">
        <f>$A$6</f>
        <v>（平成３０年１月～平成３０年１２月期間中の予定金額）</v>
      </c>
      <c r="N204" s="555"/>
      <c r="O204" s="555"/>
      <c r="P204" s="555"/>
      <c r="Q204" s="555"/>
      <c r="R204" s="555"/>
      <c r="S204" s="555"/>
      <c r="T204" s="555"/>
      <c r="U204" s="555"/>
      <c r="V204" s="555"/>
      <c r="W204" s="555"/>
      <c r="X204" s="2"/>
      <c r="Y204" s="555" t="str">
        <f>$A$6</f>
        <v>（平成３０年１月～平成３０年１２月期間中の予定金額）</v>
      </c>
      <c r="Z204" s="555"/>
      <c r="AA204" s="555"/>
      <c r="AB204" s="555"/>
      <c r="AC204" s="555"/>
      <c r="AD204" s="555"/>
      <c r="AE204" s="555"/>
      <c r="AF204" s="555"/>
      <c r="AG204" s="555"/>
      <c r="AH204" s="555"/>
      <c r="AI204" s="555"/>
    </row>
    <row r="205" spans="1:35" ht="14.25" thickBot="1" x14ac:dyDescent="0.2">
      <c r="A205" s="215" t="s">
        <v>116</v>
      </c>
      <c r="B205" s="215"/>
      <c r="C205" s="213"/>
      <c r="D205" s="213"/>
      <c r="E205" s="213"/>
      <c r="F205" s="213"/>
      <c r="G205" s="213"/>
      <c r="H205" s="213"/>
      <c r="I205" s="213"/>
      <c r="J205" s="213"/>
      <c r="K205" s="211" t="s">
        <v>84</v>
      </c>
      <c r="L205" s="2"/>
      <c r="M205" s="134" t="s">
        <v>116</v>
      </c>
      <c r="N205" s="134"/>
      <c r="W205" s="47" t="s">
        <v>70</v>
      </c>
      <c r="X205" s="2"/>
      <c r="Y205" s="134" t="s">
        <v>116</v>
      </c>
      <c r="Z205" s="134"/>
      <c r="AI205" s="47" t="s">
        <v>70</v>
      </c>
    </row>
    <row r="206" spans="1:35" ht="18" customHeight="1" thickBot="1" x14ac:dyDescent="0.2">
      <c r="A206" s="695" t="s">
        <v>33</v>
      </c>
      <c r="B206" s="683" t="s">
        <v>24</v>
      </c>
      <c r="C206" s="684"/>
      <c r="D206" s="684"/>
      <c r="E206" s="685"/>
      <c r="F206" s="686" t="s">
        <v>34</v>
      </c>
      <c r="G206" s="687"/>
      <c r="H206" s="687"/>
      <c r="I206" s="687"/>
      <c r="J206" s="688"/>
      <c r="K206" s="667" t="s">
        <v>35</v>
      </c>
      <c r="L206" s="2"/>
      <c r="M206" s="567" t="s">
        <v>33</v>
      </c>
      <c r="N206" s="570" t="s">
        <v>24</v>
      </c>
      <c r="O206" s="571"/>
      <c r="P206" s="571"/>
      <c r="Q206" s="572"/>
      <c r="R206" s="573" t="s">
        <v>34</v>
      </c>
      <c r="S206" s="574"/>
      <c r="T206" s="574"/>
      <c r="U206" s="574"/>
      <c r="V206" s="575"/>
      <c r="W206" s="544" t="s">
        <v>35</v>
      </c>
      <c r="X206" s="2"/>
      <c r="Y206" s="567" t="s">
        <v>33</v>
      </c>
      <c r="Z206" s="570" t="s">
        <v>24</v>
      </c>
      <c r="AA206" s="571"/>
      <c r="AB206" s="571"/>
      <c r="AC206" s="572"/>
      <c r="AD206" s="573" t="s">
        <v>34</v>
      </c>
      <c r="AE206" s="574"/>
      <c r="AF206" s="574"/>
      <c r="AG206" s="574"/>
      <c r="AH206" s="575"/>
      <c r="AI206" s="544" t="s">
        <v>35</v>
      </c>
    </row>
    <row r="207" spans="1:35" ht="13.5" customHeight="1" x14ac:dyDescent="0.15">
      <c r="A207" s="696"/>
      <c r="B207" s="669" t="s">
        <v>28</v>
      </c>
      <c r="C207" s="667" t="s">
        <v>29</v>
      </c>
      <c r="D207" s="669" t="s">
        <v>25</v>
      </c>
      <c r="E207" s="678" t="s">
        <v>31</v>
      </c>
      <c r="F207" s="679" t="s">
        <v>36</v>
      </c>
      <c r="G207" s="680"/>
      <c r="H207" s="216"/>
      <c r="I207" s="667" t="s">
        <v>37</v>
      </c>
      <c r="J207" s="669" t="s">
        <v>38</v>
      </c>
      <c r="K207" s="668"/>
      <c r="L207" s="2"/>
      <c r="M207" s="568"/>
      <c r="N207" s="546" t="s">
        <v>28</v>
      </c>
      <c r="O207" s="544" t="s">
        <v>29</v>
      </c>
      <c r="P207" s="546" t="s">
        <v>25</v>
      </c>
      <c r="Q207" s="582" t="s">
        <v>31</v>
      </c>
      <c r="R207" s="540" t="s">
        <v>36</v>
      </c>
      <c r="S207" s="541"/>
      <c r="T207" s="135"/>
      <c r="U207" s="544" t="s">
        <v>37</v>
      </c>
      <c r="V207" s="546" t="s">
        <v>38</v>
      </c>
      <c r="W207" s="545"/>
      <c r="X207" s="2"/>
      <c r="Y207" s="568"/>
      <c r="Z207" s="546" t="s">
        <v>28</v>
      </c>
      <c r="AA207" s="544" t="s">
        <v>29</v>
      </c>
      <c r="AB207" s="546" t="s">
        <v>25</v>
      </c>
      <c r="AC207" s="582" t="s">
        <v>31</v>
      </c>
      <c r="AD207" s="540" t="s">
        <v>36</v>
      </c>
      <c r="AE207" s="541"/>
      <c r="AF207" s="135"/>
      <c r="AG207" s="544" t="s">
        <v>37</v>
      </c>
      <c r="AH207" s="546" t="s">
        <v>38</v>
      </c>
      <c r="AI207" s="545"/>
    </row>
    <row r="208" spans="1:35" x14ac:dyDescent="0.15">
      <c r="A208" s="696"/>
      <c r="B208" s="669"/>
      <c r="C208" s="668"/>
      <c r="D208" s="669"/>
      <c r="E208" s="669"/>
      <c r="F208" s="681"/>
      <c r="G208" s="682"/>
      <c r="H208" s="217"/>
      <c r="I208" s="668"/>
      <c r="J208" s="669"/>
      <c r="K208" s="668"/>
      <c r="L208" s="2"/>
      <c r="M208" s="568"/>
      <c r="N208" s="546"/>
      <c r="O208" s="545"/>
      <c r="P208" s="546"/>
      <c r="Q208" s="546"/>
      <c r="R208" s="542"/>
      <c r="S208" s="543"/>
      <c r="T208" s="136"/>
      <c r="U208" s="545"/>
      <c r="V208" s="546"/>
      <c r="W208" s="545"/>
      <c r="X208" s="2"/>
      <c r="Y208" s="568"/>
      <c r="Z208" s="546"/>
      <c r="AA208" s="545"/>
      <c r="AB208" s="546"/>
      <c r="AC208" s="546"/>
      <c r="AD208" s="542"/>
      <c r="AE208" s="543"/>
      <c r="AF208" s="136"/>
      <c r="AG208" s="545"/>
      <c r="AH208" s="546"/>
      <c r="AI208" s="545"/>
    </row>
    <row r="209" spans="1:35" ht="23.25" customHeight="1" x14ac:dyDescent="0.15">
      <c r="A209" s="696"/>
      <c r="B209" s="218" t="s">
        <v>13</v>
      </c>
      <c r="C209" s="219" t="s">
        <v>30</v>
      </c>
      <c r="D209" s="218" t="s">
        <v>14</v>
      </c>
      <c r="E209" s="218" t="s">
        <v>40</v>
      </c>
      <c r="F209" s="665" t="s">
        <v>15</v>
      </c>
      <c r="G209" s="666"/>
      <c r="H209" s="220"/>
      <c r="I209" s="219" t="s">
        <v>30</v>
      </c>
      <c r="J209" s="218" t="s">
        <v>40</v>
      </c>
      <c r="K209" s="218" t="s">
        <v>40</v>
      </c>
      <c r="L209" s="2"/>
      <c r="M209" s="568"/>
      <c r="N209" s="137" t="s">
        <v>152</v>
      </c>
      <c r="O209" s="138" t="s">
        <v>30</v>
      </c>
      <c r="P209" s="137" t="s">
        <v>14</v>
      </c>
      <c r="Q209" s="137" t="s">
        <v>40</v>
      </c>
      <c r="R209" s="549" t="s">
        <v>15</v>
      </c>
      <c r="S209" s="550"/>
      <c r="T209" s="139"/>
      <c r="U209" s="138" t="s">
        <v>30</v>
      </c>
      <c r="V209" s="137" t="s">
        <v>40</v>
      </c>
      <c r="W209" s="137" t="s">
        <v>40</v>
      </c>
      <c r="X209" s="2"/>
      <c r="Y209" s="568"/>
      <c r="Z209" s="137" t="s">
        <v>152</v>
      </c>
      <c r="AA209" s="138" t="s">
        <v>30</v>
      </c>
      <c r="AB209" s="137" t="s">
        <v>14</v>
      </c>
      <c r="AC209" s="137" t="s">
        <v>40</v>
      </c>
      <c r="AD209" s="549" t="s">
        <v>15</v>
      </c>
      <c r="AE209" s="550"/>
      <c r="AF209" s="139"/>
      <c r="AG209" s="138" t="s">
        <v>30</v>
      </c>
      <c r="AH209" s="137" t="s">
        <v>40</v>
      </c>
      <c r="AI209" s="137" t="s">
        <v>40</v>
      </c>
    </row>
    <row r="210" spans="1:35" ht="15.75" customHeight="1" thickBot="1" x14ac:dyDescent="0.2">
      <c r="A210" s="697"/>
      <c r="B210" s="221" t="s">
        <v>16</v>
      </c>
      <c r="C210" s="221" t="s">
        <v>17</v>
      </c>
      <c r="D210" s="221" t="s">
        <v>18</v>
      </c>
      <c r="E210" s="221" t="s">
        <v>19</v>
      </c>
      <c r="F210" s="222"/>
      <c r="G210" s="223" t="s">
        <v>20</v>
      </c>
      <c r="H210" s="223"/>
      <c r="I210" s="221" t="s">
        <v>21</v>
      </c>
      <c r="J210" s="221" t="s">
        <v>22</v>
      </c>
      <c r="K210" s="223" t="s">
        <v>23</v>
      </c>
      <c r="L210" s="2"/>
      <c r="M210" s="569"/>
      <c r="N210" s="122" t="s">
        <v>16</v>
      </c>
      <c r="O210" s="122" t="s">
        <v>17</v>
      </c>
      <c r="P210" s="122" t="s">
        <v>18</v>
      </c>
      <c r="Q210" s="122" t="s">
        <v>19</v>
      </c>
      <c r="R210" s="140"/>
      <c r="S210" s="141" t="s">
        <v>20</v>
      </c>
      <c r="T210" s="141"/>
      <c r="U210" s="122" t="s">
        <v>21</v>
      </c>
      <c r="V210" s="122" t="s">
        <v>22</v>
      </c>
      <c r="W210" s="141" t="s">
        <v>23</v>
      </c>
      <c r="X210" s="2"/>
      <c r="Y210" s="569"/>
      <c r="Z210" s="122" t="s">
        <v>16</v>
      </c>
      <c r="AA210" s="122" t="s">
        <v>17</v>
      </c>
      <c r="AB210" s="122" t="s">
        <v>18</v>
      </c>
      <c r="AC210" s="122" t="s">
        <v>19</v>
      </c>
      <c r="AD210" s="140"/>
      <c r="AE210" s="141" t="s">
        <v>20</v>
      </c>
      <c r="AF210" s="141"/>
      <c r="AG210" s="122" t="s">
        <v>21</v>
      </c>
      <c r="AH210" s="122" t="s">
        <v>22</v>
      </c>
      <c r="AI210" s="141" t="s">
        <v>23</v>
      </c>
    </row>
    <row r="211" spans="1:35" ht="30" customHeight="1" x14ac:dyDescent="0.15">
      <c r="A211" s="224" t="s">
        <v>83</v>
      </c>
      <c r="B211" s="225">
        <v>66</v>
      </c>
      <c r="C211" s="226">
        <v>1296</v>
      </c>
      <c r="D211" s="225">
        <v>100</v>
      </c>
      <c r="E211" s="228">
        <f t="shared" ref="E211:E222" si="105">ROUNDDOWN(B211*C211*((185-D211)/100),2)</f>
        <v>72705.600000000006</v>
      </c>
      <c r="F211" s="229" t="s">
        <v>85</v>
      </c>
      <c r="G211" s="230">
        <v>7206</v>
      </c>
      <c r="H211" s="230"/>
      <c r="I211" s="226">
        <v>16.87</v>
      </c>
      <c r="J211" s="228">
        <f t="shared" ref="J211:J222" si="106">ROUNDDOWN(G211*I211,2)</f>
        <v>121565.22</v>
      </c>
      <c r="K211" s="231">
        <f t="shared" ref="K211:K222" si="107">ROUNDDOWN(J211+E211,2)</f>
        <v>194270.82</v>
      </c>
      <c r="L211" s="2"/>
      <c r="M211" s="142" t="s">
        <v>83</v>
      </c>
      <c r="N211" s="143">
        <v>66</v>
      </c>
      <c r="O211" s="123">
        <v>2008.8</v>
      </c>
      <c r="P211" s="163">
        <v>100</v>
      </c>
      <c r="Q211" s="98">
        <f t="shared" ref="Q211:Q222" si="108">ROUNDDOWN(N211*O211*((185-P211)/100),2)</f>
        <v>112693.68</v>
      </c>
      <c r="R211" s="145" t="s">
        <v>85</v>
      </c>
      <c r="S211" s="146">
        <v>7206</v>
      </c>
      <c r="T211" s="146"/>
      <c r="U211" s="124">
        <v>11.87</v>
      </c>
      <c r="V211" s="98">
        <f t="shared" ref="V211:V222" si="109">ROUNDDOWN(S211*U211,2)</f>
        <v>85535.22</v>
      </c>
      <c r="W211" s="147">
        <f t="shared" ref="W211:W222" si="110">ROUNDDOWN(V211+Q211,2)</f>
        <v>198228.9</v>
      </c>
      <c r="X211" s="2"/>
      <c r="Y211" s="142" t="s">
        <v>83</v>
      </c>
      <c r="Z211" s="143">
        <v>66</v>
      </c>
      <c r="AA211" s="123">
        <v>2008.8</v>
      </c>
      <c r="AB211" s="163">
        <v>100</v>
      </c>
      <c r="AC211" s="98">
        <f t="shared" ref="AC211:AC222" si="111">ROUNDDOWN(Z211*AA211*((185-AB211)/100),2)</f>
        <v>112693.68</v>
      </c>
      <c r="AD211" s="145" t="s">
        <v>85</v>
      </c>
      <c r="AE211" s="146">
        <v>7206</v>
      </c>
      <c r="AF211" s="146"/>
      <c r="AG211" s="124">
        <v>11.87</v>
      </c>
      <c r="AH211" s="98">
        <f t="shared" ref="AH211:AH222" si="112">ROUNDDOWN(AE211*AG211,2)</f>
        <v>85535.22</v>
      </c>
      <c r="AI211" s="147">
        <f t="shared" ref="AI211:AI222" si="113">ROUNDDOWN(AH211+AC211,2)</f>
        <v>198228.9</v>
      </c>
    </row>
    <row r="212" spans="1:35" ht="30" customHeight="1" x14ac:dyDescent="0.15">
      <c r="A212" s="232" t="s">
        <v>72</v>
      </c>
      <c r="B212" s="233">
        <f t="shared" ref="B212:B222" si="114">B211</f>
        <v>66</v>
      </c>
      <c r="C212" s="234">
        <f t="shared" ref="C212:C222" si="115">C211</f>
        <v>1296</v>
      </c>
      <c r="D212" s="235">
        <f t="shared" ref="D212:D222" si="116">D211</f>
        <v>100</v>
      </c>
      <c r="E212" s="228">
        <f t="shared" si="105"/>
        <v>72705.600000000006</v>
      </c>
      <c r="F212" s="229" t="s">
        <v>112</v>
      </c>
      <c r="G212" s="230">
        <v>7759</v>
      </c>
      <c r="H212" s="230"/>
      <c r="I212" s="234">
        <f>I211</f>
        <v>16.87</v>
      </c>
      <c r="J212" s="228">
        <f t="shared" si="106"/>
        <v>130894.33</v>
      </c>
      <c r="K212" s="231">
        <f t="shared" si="107"/>
        <v>203599.93</v>
      </c>
      <c r="L212" s="2"/>
      <c r="M212" s="148" t="s">
        <v>72</v>
      </c>
      <c r="N212" s="149">
        <f t="shared" ref="N212:N222" si="117">N211</f>
        <v>66</v>
      </c>
      <c r="O212" s="125">
        <f t="shared" ref="O212:O222" si="118">O211</f>
        <v>2008.8</v>
      </c>
      <c r="P212" s="106">
        <f t="shared" ref="P212:P222" si="119">P211</f>
        <v>100</v>
      </c>
      <c r="Q212" s="98">
        <f t="shared" si="108"/>
        <v>112693.68</v>
      </c>
      <c r="R212" s="145" t="s">
        <v>112</v>
      </c>
      <c r="S212" s="146">
        <v>7759</v>
      </c>
      <c r="T212" s="146"/>
      <c r="U212" s="125">
        <f>U211</f>
        <v>11.87</v>
      </c>
      <c r="V212" s="98">
        <f t="shared" si="109"/>
        <v>92099.33</v>
      </c>
      <c r="W212" s="147">
        <f t="shared" si="110"/>
        <v>204793.01</v>
      </c>
      <c r="X212" s="2"/>
      <c r="Y212" s="148" t="s">
        <v>72</v>
      </c>
      <c r="Z212" s="149">
        <f t="shared" ref="Z212:Z222" si="120">Z211</f>
        <v>66</v>
      </c>
      <c r="AA212" s="125">
        <f t="shared" ref="AA212:AA222" si="121">AA211</f>
        <v>2008.8</v>
      </c>
      <c r="AB212" s="106">
        <f t="shared" ref="AB212:AB222" si="122">AB211</f>
        <v>100</v>
      </c>
      <c r="AC212" s="98">
        <f t="shared" si="111"/>
        <v>112693.68</v>
      </c>
      <c r="AD212" s="145" t="s">
        <v>112</v>
      </c>
      <c r="AE212" s="146">
        <v>7759</v>
      </c>
      <c r="AF212" s="146"/>
      <c r="AG212" s="125">
        <f>AG211</f>
        <v>11.87</v>
      </c>
      <c r="AH212" s="98">
        <f t="shared" si="112"/>
        <v>92099.33</v>
      </c>
      <c r="AI212" s="147">
        <f t="shared" si="113"/>
        <v>204793.01</v>
      </c>
    </row>
    <row r="213" spans="1:35" ht="30" customHeight="1" x14ac:dyDescent="0.15">
      <c r="A213" s="232" t="s">
        <v>73</v>
      </c>
      <c r="B213" s="233">
        <f t="shared" si="114"/>
        <v>66</v>
      </c>
      <c r="C213" s="234">
        <f t="shared" si="115"/>
        <v>1296</v>
      </c>
      <c r="D213" s="235">
        <f t="shared" si="116"/>
        <v>100</v>
      </c>
      <c r="E213" s="228">
        <f t="shared" si="105"/>
        <v>72705.600000000006</v>
      </c>
      <c r="F213" s="229" t="s">
        <v>9</v>
      </c>
      <c r="G213" s="230">
        <v>6364</v>
      </c>
      <c r="H213" s="230"/>
      <c r="I213" s="234">
        <f>I212</f>
        <v>16.87</v>
      </c>
      <c r="J213" s="228">
        <f t="shared" si="106"/>
        <v>107360.68</v>
      </c>
      <c r="K213" s="231">
        <f t="shared" si="107"/>
        <v>180066.28</v>
      </c>
      <c r="L213" s="2"/>
      <c r="M213" s="148" t="s">
        <v>73</v>
      </c>
      <c r="N213" s="149">
        <f t="shared" si="117"/>
        <v>66</v>
      </c>
      <c r="O213" s="125">
        <f t="shared" si="118"/>
        <v>2008.8</v>
      </c>
      <c r="P213" s="106">
        <f t="shared" si="119"/>
        <v>100</v>
      </c>
      <c r="Q213" s="98">
        <f t="shared" si="108"/>
        <v>112693.68</v>
      </c>
      <c r="R213" s="145" t="s">
        <v>9</v>
      </c>
      <c r="S213" s="146">
        <v>6364</v>
      </c>
      <c r="T213" s="146"/>
      <c r="U213" s="125">
        <f>U212</f>
        <v>11.87</v>
      </c>
      <c r="V213" s="98">
        <f t="shared" si="109"/>
        <v>75540.679999999993</v>
      </c>
      <c r="W213" s="147">
        <f t="shared" si="110"/>
        <v>188234.36</v>
      </c>
      <c r="X213" s="2"/>
      <c r="Y213" s="148" t="s">
        <v>73</v>
      </c>
      <c r="Z213" s="149">
        <f t="shared" si="120"/>
        <v>66</v>
      </c>
      <c r="AA213" s="125">
        <f t="shared" si="121"/>
        <v>2008.8</v>
      </c>
      <c r="AB213" s="106">
        <f t="shared" si="122"/>
        <v>100</v>
      </c>
      <c r="AC213" s="98">
        <f t="shared" si="111"/>
        <v>112693.68</v>
      </c>
      <c r="AD213" s="145" t="s">
        <v>9</v>
      </c>
      <c r="AE213" s="146">
        <v>6364</v>
      </c>
      <c r="AF213" s="146"/>
      <c r="AG213" s="125">
        <f>AG212</f>
        <v>11.87</v>
      </c>
      <c r="AH213" s="98">
        <f t="shared" si="112"/>
        <v>75540.679999999993</v>
      </c>
      <c r="AI213" s="147">
        <f t="shared" si="113"/>
        <v>188234.36</v>
      </c>
    </row>
    <row r="214" spans="1:35" ht="30" customHeight="1" x14ac:dyDescent="0.15">
      <c r="A214" s="232" t="s">
        <v>74</v>
      </c>
      <c r="B214" s="233">
        <f t="shared" si="114"/>
        <v>66</v>
      </c>
      <c r="C214" s="234">
        <f t="shared" si="115"/>
        <v>1296</v>
      </c>
      <c r="D214" s="235">
        <f t="shared" si="116"/>
        <v>100</v>
      </c>
      <c r="E214" s="228">
        <f t="shared" si="105"/>
        <v>72705.600000000006</v>
      </c>
      <c r="F214" s="229" t="s">
        <v>9</v>
      </c>
      <c r="G214" s="230">
        <v>5170</v>
      </c>
      <c r="H214" s="230"/>
      <c r="I214" s="234">
        <f>I213</f>
        <v>16.87</v>
      </c>
      <c r="J214" s="228">
        <f t="shared" si="106"/>
        <v>87217.9</v>
      </c>
      <c r="K214" s="231">
        <f t="shared" si="107"/>
        <v>159923.5</v>
      </c>
      <c r="L214" s="2"/>
      <c r="M214" s="148" t="s">
        <v>74</v>
      </c>
      <c r="N214" s="149">
        <f t="shared" si="117"/>
        <v>66</v>
      </c>
      <c r="O214" s="125">
        <f t="shared" si="118"/>
        <v>2008.8</v>
      </c>
      <c r="P214" s="106">
        <f t="shared" si="119"/>
        <v>100</v>
      </c>
      <c r="Q214" s="98">
        <f t="shared" si="108"/>
        <v>112693.68</v>
      </c>
      <c r="R214" s="145" t="s">
        <v>9</v>
      </c>
      <c r="S214" s="146">
        <v>5170</v>
      </c>
      <c r="T214" s="146"/>
      <c r="U214" s="125">
        <f>U213</f>
        <v>11.87</v>
      </c>
      <c r="V214" s="98">
        <f t="shared" si="109"/>
        <v>61367.9</v>
      </c>
      <c r="W214" s="147">
        <f t="shared" si="110"/>
        <v>174061.58</v>
      </c>
      <c r="X214" s="2"/>
      <c r="Y214" s="148" t="s">
        <v>74</v>
      </c>
      <c r="Z214" s="149">
        <f t="shared" si="120"/>
        <v>66</v>
      </c>
      <c r="AA214" s="125">
        <f t="shared" si="121"/>
        <v>2008.8</v>
      </c>
      <c r="AB214" s="106">
        <f t="shared" si="122"/>
        <v>100</v>
      </c>
      <c r="AC214" s="98">
        <f t="shared" si="111"/>
        <v>112693.68</v>
      </c>
      <c r="AD214" s="145" t="s">
        <v>9</v>
      </c>
      <c r="AE214" s="146">
        <v>5170</v>
      </c>
      <c r="AF214" s="146"/>
      <c r="AG214" s="125">
        <f>AG213</f>
        <v>11.87</v>
      </c>
      <c r="AH214" s="98">
        <f t="shared" si="112"/>
        <v>61367.9</v>
      </c>
      <c r="AI214" s="147">
        <f t="shared" si="113"/>
        <v>174061.58</v>
      </c>
    </row>
    <row r="215" spans="1:35" ht="30" customHeight="1" x14ac:dyDescent="0.15">
      <c r="A215" s="232" t="s">
        <v>75</v>
      </c>
      <c r="B215" s="233">
        <f t="shared" si="114"/>
        <v>66</v>
      </c>
      <c r="C215" s="234">
        <f t="shared" si="115"/>
        <v>1296</v>
      </c>
      <c r="D215" s="235">
        <f t="shared" si="116"/>
        <v>100</v>
      </c>
      <c r="E215" s="228">
        <f t="shared" si="105"/>
        <v>72705.600000000006</v>
      </c>
      <c r="F215" s="229" t="s">
        <v>9</v>
      </c>
      <c r="G215" s="230">
        <v>5786</v>
      </c>
      <c r="H215" s="230"/>
      <c r="I215" s="234">
        <f>I214</f>
        <v>16.87</v>
      </c>
      <c r="J215" s="228">
        <f t="shared" si="106"/>
        <v>97609.82</v>
      </c>
      <c r="K215" s="231">
        <f t="shared" si="107"/>
        <v>170315.42</v>
      </c>
      <c r="L215" s="2"/>
      <c r="M215" s="148" t="s">
        <v>75</v>
      </c>
      <c r="N215" s="149">
        <f t="shared" si="117"/>
        <v>66</v>
      </c>
      <c r="O215" s="125">
        <f t="shared" si="118"/>
        <v>2008.8</v>
      </c>
      <c r="P215" s="106">
        <f t="shared" si="119"/>
        <v>100</v>
      </c>
      <c r="Q215" s="98">
        <f t="shared" si="108"/>
        <v>112693.68</v>
      </c>
      <c r="R215" s="145" t="s">
        <v>9</v>
      </c>
      <c r="S215" s="146">
        <v>5786</v>
      </c>
      <c r="T215" s="146"/>
      <c r="U215" s="125">
        <f>U214</f>
        <v>11.87</v>
      </c>
      <c r="V215" s="98">
        <f t="shared" si="109"/>
        <v>68679.820000000007</v>
      </c>
      <c r="W215" s="147">
        <f t="shared" si="110"/>
        <v>181373.5</v>
      </c>
      <c r="X215" s="2"/>
      <c r="Y215" s="148" t="s">
        <v>75</v>
      </c>
      <c r="Z215" s="149">
        <f t="shared" si="120"/>
        <v>66</v>
      </c>
      <c r="AA215" s="125">
        <f t="shared" si="121"/>
        <v>2008.8</v>
      </c>
      <c r="AB215" s="106">
        <f t="shared" si="122"/>
        <v>100</v>
      </c>
      <c r="AC215" s="98">
        <f t="shared" si="111"/>
        <v>112693.68</v>
      </c>
      <c r="AD215" s="145" t="s">
        <v>9</v>
      </c>
      <c r="AE215" s="146">
        <v>5786</v>
      </c>
      <c r="AF215" s="146"/>
      <c r="AG215" s="125">
        <f>AG214</f>
        <v>11.87</v>
      </c>
      <c r="AH215" s="98">
        <f t="shared" si="112"/>
        <v>68679.820000000007</v>
      </c>
      <c r="AI215" s="147">
        <f t="shared" si="113"/>
        <v>181373.5</v>
      </c>
    </row>
    <row r="216" spans="1:35" ht="30" customHeight="1" x14ac:dyDescent="0.15">
      <c r="A216" s="232" t="s">
        <v>76</v>
      </c>
      <c r="B216" s="233">
        <f t="shared" si="114"/>
        <v>66</v>
      </c>
      <c r="C216" s="234">
        <f t="shared" si="115"/>
        <v>1296</v>
      </c>
      <c r="D216" s="235">
        <f t="shared" si="116"/>
        <v>100</v>
      </c>
      <c r="E216" s="228">
        <f t="shared" si="105"/>
        <v>72705.600000000006</v>
      </c>
      <c r="F216" s="229" t="s">
        <v>9</v>
      </c>
      <c r="G216" s="230">
        <v>7097</v>
      </c>
      <c r="H216" s="230"/>
      <c r="I216" s="234">
        <f>I215</f>
        <v>16.87</v>
      </c>
      <c r="J216" s="228">
        <f t="shared" si="106"/>
        <v>119726.39</v>
      </c>
      <c r="K216" s="231">
        <f t="shared" si="107"/>
        <v>192431.99</v>
      </c>
      <c r="L216" s="2"/>
      <c r="M216" s="148" t="s">
        <v>76</v>
      </c>
      <c r="N216" s="149">
        <f t="shared" si="117"/>
        <v>66</v>
      </c>
      <c r="O216" s="125">
        <f t="shared" si="118"/>
        <v>2008.8</v>
      </c>
      <c r="P216" s="106">
        <f t="shared" si="119"/>
        <v>100</v>
      </c>
      <c r="Q216" s="98">
        <f t="shared" si="108"/>
        <v>112693.68</v>
      </c>
      <c r="R216" s="145" t="s">
        <v>9</v>
      </c>
      <c r="S216" s="146">
        <v>7097</v>
      </c>
      <c r="T216" s="146"/>
      <c r="U216" s="125">
        <f>U215</f>
        <v>11.87</v>
      </c>
      <c r="V216" s="98">
        <f t="shared" si="109"/>
        <v>84241.39</v>
      </c>
      <c r="W216" s="147">
        <f t="shared" si="110"/>
        <v>196935.07</v>
      </c>
      <c r="X216" s="2"/>
      <c r="Y216" s="148" t="s">
        <v>76</v>
      </c>
      <c r="Z216" s="149">
        <f t="shared" si="120"/>
        <v>66</v>
      </c>
      <c r="AA216" s="125">
        <f t="shared" si="121"/>
        <v>2008.8</v>
      </c>
      <c r="AB216" s="106">
        <f t="shared" si="122"/>
        <v>100</v>
      </c>
      <c r="AC216" s="98">
        <f t="shared" si="111"/>
        <v>112693.68</v>
      </c>
      <c r="AD216" s="145" t="s">
        <v>9</v>
      </c>
      <c r="AE216" s="146">
        <v>7097</v>
      </c>
      <c r="AF216" s="146"/>
      <c r="AG216" s="125">
        <f>AG215</f>
        <v>11.87</v>
      </c>
      <c r="AH216" s="98">
        <f t="shared" si="112"/>
        <v>84241.39</v>
      </c>
      <c r="AI216" s="147">
        <f t="shared" si="113"/>
        <v>196935.07</v>
      </c>
    </row>
    <row r="217" spans="1:35" ht="30" customHeight="1" x14ac:dyDescent="0.15">
      <c r="A217" s="232" t="s">
        <v>77</v>
      </c>
      <c r="B217" s="233">
        <f t="shared" si="114"/>
        <v>66</v>
      </c>
      <c r="C217" s="234">
        <f t="shared" si="115"/>
        <v>1296</v>
      </c>
      <c r="D217" s="235">
        <f t="shared" si="116"/>
        <v>100</v>
      </c>
      <c r="E217" s="228">
        <f t="shared" si="105"/>
        <v>72705.600000000006</v>
      </c>
      <c r="F217" s="229" t="s">
        <v>71</v>
      </c>
      <c r="G217" s="230">
        <v>6178</v>
      </c>
      <c r="H217" s="230"/>
      <c r="I217" s="226">
        <v>18.29</v>
      </c>
      <c r="J217" s="228">
        <f t="shared" si="106"/>
        <v>112995.62</v>
      </c>
      <c r="K217" s="231">
        <f t="shared" si="107"/>
        <v>185701.22</v>
      </c>
      <c r="L217" s="2"/>
      <c r="M217" s="148" t="s">
        <v>77</v>
      </c>
      <c r="N217" s="149">
        <f t="shared" si="117"/>
        <v>66</v>
      </c>
      <c r="O217" s="125">
        <f t="shared" si="118"/>
        <v>2008.8</v>
      </c>
      <c r="P217" s="106">
        <f t="shared" si="119"/>
        <v>100</v>
      </c>
      <c r="Q217" s="98">
        <f t="shared" si="108"/>
        <v>112693.68</v>
      </c>
      <c r="R217" s="145" t="s">
        <v>71</v>
      </c>
      <c r="S217" s="146">
        <v>6178</v>
      </c>
      <c r="T217" s="146"/>
      <c r="U217" s="124">
        <v>12.78</v>
      </c>
      <c r="V217" s="98">
        <f t="shared" si="109"/>
        <v>78954.84</v>
      </c>
      <c r="W217" s="147">
        <f t="shared" si="110"/>
        <v>191648.52</v>
      </c>
      <c r="X217" s="2"/>
      <c r="Y217" s="148" t="s">
        <v>77</v>
      </c>
      <c r="Z217" s="149">
        <f t="shared" si="120"/>
        <v>66</v>
      </c>
      <c r="AA217" s="125">
        <f t="shared" si="121"/>
        <v>2008.8</v>
      </c>
      <c r="AB217" s="106">
        <f t="shared" si="122"/>
        <v>100</v>
      </c>
      <c r="AC217" s="98">
        <f t="shared" si="111"/>
        <v>112693.68</v>
      </c>
      <c r="AD217" s="145" t="s">
        <v>71</v>
      </c>
      <c r="AE217" s="146">
        <v>6178</v>
      </c>
      <c r="AF217" s="146"/>
      <c r="AG217" s="124">
        <v>12.78</v>
      </c>
      <c r="AH217" s="98">
        <f t="shared" si="112"/>
        <v>78954.84</v>
      </c>
      <c r="AI217" s="147">
        <f t="shared" si="113"/>
        <v>191648.52</v>
      </c>
    </row>
    <row r="218" spans="1:35" ht="30" customHeight="1" x14ac:dyDescent="0.15">
      <c r="A218" s="232" t="s">
        <v>78</v>
      </c>
      <c r="B218" s="233">
        <f t="shared" si="114"/>
        <v>66</v>
      </c>
      <c r="C218" s="234">
        <f t="shared" si="115"/>
        <v>1296</v>
      </c>
      <c r="D218" s="235">
        <f t="shared" si="116"/>
        <v>100</v>
      </c>
      <c r="E218" s="228">
        <f t="shared" si="105"/>
        <v>72705.600000000006</v>
      </c>
      <c r="F218" s="229" t="s">
        <v>71</v>
      </c>
      <c r="G218" s="230">
        <v>5280</v>
      </c>
      <c r="H218" s="230"/>
      <c r="I218" s="234">
        <f>I217</f>
        <v>18.29</v>
      </c>
      <c r="J218" s="228">
        <f t="shared" si="106"/>
        <v>96571.199999999997</v>
      </c>
      <c r="K218" s="231">
        <f t="shared" si="107"/>
        <v>169276.79999999999</v>
      </c>
      <c r="L218" s="2"/>
      <c r="M218" s="148" t="s">
        <v>78</v>
      </c>
      <c r="N218" s="149">
        <f t="shared" si="117"/>
        <v>66</v>
      </c>
      <c r="O218" s="125">
        <f t="shared" si="118"/>
        <v>2008.8</v>
      </c>
      <c r="P218" s="106">
        <f t="shared" si="119"/>
        <v>100</v>
      </c>
      <c r="Q218" s="98">
        <f t="shared" si="108"/>
        <v>112693.68</v>
      </c>
      <c r="R218" s="145" t="s">
        <v>71</v>
      </c>
      <c r="S218" s="146">
        <v>5280</v>
      </c>
      <c r="T218" s="146"/>
      <c r="U218" s="125">
        <f>U217</f>
        <v>12.78</v>
      </c>
      <c r="V218" s="98">
        <f t="shared" si="109"/>
        <v>67478.399999999994</v>
      </c>
      <c r="W218" s="147">
        <f t="shared" si="110"/>
        <v>180172.08</v>
      </c>
      <c r="X218" s="2"/>
      <c r="Y218" s="148" t="s">
        <v>78</v>
      </c>
      <c r="Z218" s="149">
        <f t="shared" si="120"/>
        <v>66</v>
      </c>
      <c r="AA218" s="125">
        <f t="shared" si="121"/>
        <v>2008.8</v>
      </c>
      <c r="AB218" s="106">
        <f t="shared" si="122"/>
        <v>100</v>
      </c>
      <c r="AC218" s="98">
        <f t="shared" si="111"/>
        <v>112693.68</v>
      </c>
      <c r="AD218" s="145" t="s">
        <v>71</v>
      </c>
      <c r="AE218" s="146">
        <v>5280</v>
      </c>
      <c r="AF218" s="146"/>
      <c r="AG218" s="125">
        <f>AG217</f>
        <v>12.78</v>
      </c>
      <c r="AH218" s="98">
        <f t="shared" si="112"/>
        <v>67478.399999999994</v>
      </c>
      <c r="AI218" s="147">
        <f t="shared" si="113"/>
        <v>180172.08</v>
      </c>
    </row>
    <row r="219" spans="1:35" ht="30" customHeight="1" x14ac:dyDescent="0.15">
      <c r="A219" s="232" t="s">
        <v>79</v>
      </c>
      <c r="B219" s="233">
        <f t="shared" si="114"/>
        <v>66</v>
      </c>
      <c r="C219" s="234">
        <f t="shared" si="115"/>
        <v>1296</v>
      </c>
      <c r="D219" s="235">
        <f t="shared" si="116"/>
        <v>100</v>
      </c>
      <c r="E219" s="228">
        <f t="shared" si="105"/>
        <v>72705.600000000006</v>
      </c>
      <c r="F219" s="229" t="s">
        <v>71</v>
      </c>
      <c r="G219" s="230">
        <v>6785</v>
      </c>
      <c r="H219" s="230"/>
      <c r="I219" s="234">
        <f>I218</f>
        <v>18.29</v>
      </c>
      <c r="J219" s="228">
        <f t="shared" si="106"/>
        <v>124097.65</v>
      </c>
      <c r="K219" s="231">
        <f t="shared" si="107"/>
        <v>196803.25</v>
      </c>
      <c r="L219" s="2"/>
      <c r="M219" s="148" t="s">
        <v>79</v>
      </c>
      <c r="N219" s="149">
        <f t="shared" si="117"/>
        <v>66</v>
      </c>
      <c r="O219" s="125">
        <f t="shared" si="118"/>
        <v>2008.8</v>
      </c>
      <c r="P219" s="106">
        <f t="shared" si="119"/>
        <v>100</v>
      </c>
      <c r="Q219" s="98">
        <f t="shared" si="108"/>
        <v>112693.68</v>
      </c>
      <c r="R219" s="145" t="s">
        <v>71</v>
      </c>
      <c r="S219" s="146">
        <v>6785</v>
      </c>
      <c r="T219" s="146"/>
      <c r="U219" s="125">
        <f>U218</f>
        <v>12.78</v>
      </c>
      <c r="V219" s="98">
        <f t="shared" si="109"/>
        <v>86712.3</v>
      </c>
      <c r="W219" s="147">
        <f t="shared" si="110"/>
        <v>199405.98</v>
      </c>
      <c r="X219" s="2"/>
      <c r="Y219" s="148" t="s">
        <v>79</v>
      </c>
      <c r="Z219" s="149">
        <f t="shared" si="120"/>
        <v>66</v>
      </c>
      <c r="AA219" s="125">
        <f t="shared" si="121"/>
        <v>2008.8</v>
      </c>
      <c r="AB219" s="106">
        <f t="shared" si="122"/>
        <v>100</v>
      </c>
      <c r="AC219" s="98">
        <f t="shared" si="111"/>
        <v>112693.68</v>
      </c>
      <c r="AD219" s="145" t="s">
        <v>71</v>
      </c>
      <c r="AE219" s="146">
        <v>6785</v>
      </c>
      <c r="AF219" s="146"/>
      <c r="AG219" s="125">
        <f>AG218</f>
        <v>12.78</v>
      </c>
      <c r="AH219" s="98">
        <f t="shared" si="112"/>
        <v>86712.3</v>
      </c>
      <c r="AI219" s="147">
        <f t="shared" si="113"/>
        <v>199405.98</v>
      </c>
    </row>
    <row r="220" spans="1:35" ht="30" customHeight="1" x14ac:dyDescent="0.15">
      <c r="A220" s="232" t="s">
        <v>80</v>
      </c>
      <c r="B220" s="233">
        <f t="shared" si="114"/>
        <v>66</v>
      </c>
      <c r="C220" s="234">
        <f t="shared" si="115"/>
        <v>1296</v>
      </c>
      <c r="D220" s="235">
        <f t="shared" si="116"/>
        <v>100</v>
      </c>
      <c r="E220" s="228">
        <f t="shared" si="105"/>
        <v>72705.600000000006</v>
      </c>
      <c r="F220" s="229" t="s">
        <v>9</v>
      </c>
      <c r="G220" s="230">
        <v>5822</v>
      </c>
      <c r="H220" s="230"/>
      <c r="I220" s="234">
        <f>I211</f>
        <v>16.87</v>
      </c>
      <c r="J220" s="228">
        <f t="shared" si="106"/>
        <v>98217.14</v>
      </c>
      <c r="K220" s="231">
        <f t="shared" si="107"/>
        <v>170922.74</v>
      </c>
      <c r="L220" s="2"/>
      <c r="M220" s="148" t="s">
        <v>80</v>
      </c>
      <c r="N220" s="149">
        <f t="shared" si="117"/>
        <v>66</v>
      </c>
      <c r="O220" s="125">
        <f t="shared" si="118"/>
        <v>2008.8</v>
      </c>
      <c r="P220" s="106">
        <f t="shared" si="119"/>
        <v>100</v>
      </c>
      <c r="Q220" s="98">
        <f t="shared" si="108"/>
        <v>112693.68</v>
      </c>
      <c r="R220" s="145" t="s">
        <v>9</v>
      </c>
      <c r="S220" s="146">
        <v>5822</v>
      </c>
      <c r="T220" s="146"/>
      <c r="U220" s="125">
        <f>U211</f>
        <v>11.87</v>
      </c>
      <c r="V220" s="98">
        <f t="shared" si="109"/>
        <v>69107.14</v>
      </c>
      <c r="W220" s="147">
        <f t="shared" si="110"/>
        <v>181800.82</v>
      </c>
      <c r="X220" s="2"/>
      <c r="Y220" s="148" t="s">
        <v>80</v>
      </c>
      <c r="Z220" s="149">
        <f t="shared" si="120"/>
        <v>66</v>
      </c>
      <c r="AA220" s="125">
        <f t="shared" si="121"/>
        <v>2008.8</v>
      </c>
      <c r="AB220" s="106">
        <f t="shared" si="122"/>
        <v>100</v>
      </c>
      <c r="AC220" s="98">
        <f t="shared" si="111"/>
        <v>112693.68</v>
      </c>
      <c r="AD220" s="145" t="s">
        <v>9</v>
      </c>
      <c r="AE220" s="146">
        <v>5822</v>
      </c>
      <c r="AF220" s="146"/>
      <c r="AG220" s="125">
        <f>AG211</f>
        <v>11.87</v>
      </c>
      <c r="AH220" s="98">
        <f t="shared" si="112"/>
        <v>69107.14</v>
      </c>
      <c r="AI220" s="147">
        <f t="shared" si="113"/>
        <v>181800.82</v>
      </c>
    </row>
    <row r="221" spans="1:35" ht="30" customHeight="1" x14ac:dyDescent="0.15">
      <c r="A221" s="232" t="s">
        <v>81</v>
      </c>
      <c r="B221" s="233">
        <f t="shared" si="114"/>
        <v>66</v>
      </c>
      <c r="C221" s="234">
        <f t="shared" si="115"/>
        <v>1296</v>
      </c>
      <c r="D221" s="235">
        <f t="shared" si="116"/>
        <v>100</v>
      </c>
      <c r="E221" s="228">
        <f t="shared" si="105"/>
        <v>72705.600000000006</v>
      </c>
      <c r="F221" s="229" t="s">
        <v>9</v>
      </c>
      <c r="G221" s="230">
        <v>5899</v>
      </c>
      <c r="H221" s="230"/>
      <c r="I221" s="236">
        <f>I220</f>
        <v>16.87</v>
      </c>
      <c r="J221" s="228">
        <f t="shared" si="106"/>
        <v>99516.13</v>
      </c>
      <c r="K221" s="231">
        <f t="shared" si="107"/>
        <v>172221.73</v>
      </c>
      <c r="L221" s="89"/>
      <c r="M221" s="148" t="s">
        <v>81</v>
      </c>
      <c r="N221" s="149">
        <f t="shared" si="117"/>
        <v>66</v>
      </c>
      <c r="O221" s="125">
        <f t="shared" si="118"/>
        <v>2008.8</v>
      </c>
      <c r="P221" s="106">
        <f t="shared" si="119"/>
        <v>100</v>
      </c>
      <c r="Q221" s="98">
        <f t="shared" si="108"/>
        <v>112693.68</v>
      </c>
      <c r="R221" s="145" t="s">
        <v>9</v>
      </c>
      <c r="S221" s="146">
        <v>5899</v>
      </c>
      <c r="T221" s="146"/>
      <c r="U221" s="127">
        <f>U220</f>
        <v>11.87</v>
      </c>
      <c r="V221" s="98">
        <f t="shared" si="109"/>
        <v>70021.13</v>
      </c>
      <c r="W221" s="147">
        <f t="shared" si="110"/>
        <v>182714.81</v>
      </c>
      <c r="X221" s="89"/>
      <c r="Y221" s="148" t="s">
        <v>81</v>
      </c>
      <c r="Z221" s="149">
        <f t="shared" si="120"/>
        <v>66</v>
      </c>
      <c r="AA221" s="125">
        <f t="shared" si="121"/>
        <v>2008.8</v>
      </c>
      <c r="AB221" s="106">
        <f t="shared" si="122"/>
        <v>100</v>
      </c>
      <c r="AC221" s="98">
        <f t="shared" si="111"/>
        <v>112693.68</v>
      </c>
      <c r="AD221" s="145" t="s">
        <v>9</v>
      </c>
      <c r="AE221" s="146">
        <v>5899</v>
      </c>
      <c r="AF221" s="146"/>
      <c r="AG221" s="127">
        <f>AG220</f>
        <v>11.87</v>
      </c>
      <c r="AH221" s="98">
        <f t="shared" si="112"/>
        <v>70021.13</v>
      </c>
      <c r="AI221" s="147">
        <f t="shared" si="113"/>
        <v>182714.81</v>
      </c>
    </row>
    <row r="222" spans="1:35" ht="30" customHeight="1" thickBot="1" x14ac:dyDescent="0.2">
      <c r="A222" s="237" t="s">
        <v>82</v>
      </c>
      <c r="B222" s="238">
        <f t="shared" si="114"/>
        <v>66</v>
      </c>
      <c r="C222" s="239">
        <f t="shared" si="115"/>
        <v>1296</v>
      </c>
      <c r="D222" s="238">
        <f t="shared" si="116"/>
        <v>100</v>
      </c>
      <c r="E222" s="240">
        <f t="shared" si="105"/>
        <v>72705.600000000006</v>
      </c>
      <c r="F222" s="241" t="s">
        <v>9</v>
      </c>
      <c r="G222" s="242">
        <v>4396</v>
      </c>
      <c r="H222" s="242"/>
      <c r="I222" s="239">
        <f>I221</f>
        <v>16.87</v>
      </c>
      <c r="J222" s="240">
        <f t="shared" si="106"/>
        <v>74160.52</v>
      </c>
      <c r="K222" s="243">
        <f t="shared" si="107"/>
        <v>146866.12</v>
      </c>
      <c r="L222" s="89"/>
      <c r="M222" s="150" t="s">
        <v>82</v>
      </c>
      <c r="N222" s="151">
        <f t="shared" si="117"/>
        <v>66</v>
      </c>
      <c r="O222" s="126">
        <f t="shared" si="118"/>
        <v>2008.8</v>
      </c>
      <c r="P222" s="152">
        <f t="shared" si="119"/>
        <v>100</v>
      </c>
      <c r="Q222" s="99">
        <f t="shared" si="108"/>
        <v>112693.68</v>
      </c>
      <c r="R222" s="153" t="s">
        <v>9</v>
      </c>
      <c r="S222" s="154">
        <v>4396</v>
      </c>
      <c r="T222" s="154"/>
      <c r="U222" s="126">
        <f>U221</f>
        <v>11.87</v>
      </c>
      <c r="V222" s="99">
        <f t="shared" si="109"/>
        <v>52180.52</v>
      </c>
      <c r="W222" s="155">
        <f t="shared" si="110"/>
        <v>164874.20000000001</v>
      </c>
      <c r="X222" s="89"/>
      <c r="Y222" s="150" t="s">
        <v>82</v>
      </c>
      <c r="Z222" s="151">
        <f t="shared" si="120"/>
        <v>66</v>
      </c>
      <c r="AA222" s="126">
        <f t="shared" si="121"/>
        <v>2008.8</v>
      </c>
      <c r="AB222" s="152">
        <f t="shared" si="122"/>
        <v>100</v>
      </c>
      <c r="AC222" s="99">
        <f t="shared" si="111"/>
        <v>112693.68</v>
      </c>
      <c r="AD222" s="153" t="s">
        <v>9</v>
      </c>
      <c r="AE222" s="154">
        <v>4396</v>
      </c>
      <c r="AF222" s="154"/>
      <c r="AG222" s="126">
        <f>AG221</f>
        <v>11.87</v>
      </c>
      <c r="AH222" s="99">
        <f t="shared" si="112"/>
        <v>52180.52</v>
      </c>
      <c r="AI222" s="155">
        <f t="shared" si="113"/>
        <v>164874.20000000001</v>
      </c>
    </row>
    <row r="223" spans="1:35" ht="30" customHeight="1" thickBot="1" x14ac:dyDescent="0.2">
      <c r="A223" s="251" t="s">
        <v>41</v>
      </c>
      <c r="B223" s="245"/>
      <c r="C223" s="245"/>
      <c r="D223" s="245"/>
      <c r="E223" s="246">
        <f>SUM(E211:E222)</f>
        <v>872467.19999999984</v>
      </c>
      <c r="F223" s="247"/>
      <c r="G223" s="248">
        <f>SUM(G211:G222)</f>
        <v>73742</v>
      </c>
      <c r="H223" s="248"/>
      <c r="I223" s="245"/>
      <c r="J223" s="246">
        <f>SUM(J211:J222)</f>
        <v>1269932.6000000001</v>
      </c>
      <c r="K223" s="249">
        <f>SUM(K211:K222)</f>
        <v>2142399.7999999998</v>
      </c>
      <c r="L223" s="89" t="s">
        <v>113</v>
      </c>
      <c r="M223" s="164" t="s">
        <v>41</v>
      </c>
      <c r="N223" s="157"/>
      <c r="O223" s="157"/>
      <c r="P223" s="157"/>
      <c r="Q223" s="158">
        <f>SUM(Q211:Q222)</f>
        <v>1352324.1599999995</v>
      </c>
      <c r="R223" s="159"/>
      <c r="S223" s="160">
        <f>SUM(S211:S222)</f>
        <v>73742</v>
      </c>
      <c r="T223" s="160"/>
      <c r="U223" s="157"/>
      <c r="V223" s="158">
        <f>SUM(V211:V222)</f>
        <v>891918.67000000016</v>
      </c>
      <c r="W223" s="161">
        <f>SUM(W211:W222)</f>
        <v>2244242.83</v>
      </c>
      <c r="X223" s="89" t="s">
        <v>113</v>
      </c>
      <c r="Y223" s="164" t="s">
        <v>41</v>
      </c>
      <c r="Z223" s="157"/>
      <c r="AA223" s="157"/>
      <c r="AB223" s="157"/>
      <c r="AC223" s="158">
        <f>SUM(AC211:AC222)</f>
        <v>1352324.1599999995</v>
      </c>
      <c r="AD223" s="159"/>
      <c r="AE223" s="160">
        <f>SUM(AE211:AE222)</f>
        <v>73742</v>
      </c>
      <c r="AF223" s="160"/>
      <c r="AG223" s="157"/>
      <c r="AH223" s="158">
        <f>SUM(AH211:AH222)</f>
        <v>891918.67000000016</v>
      </c>
      <c r="AI223" s="161">
        <f>SUM(AI211:AI222)</f>
        <v>2244242.83</v>
      </c>
    </row>
    <row r="224" spans="1:35" ht="15" customHeight="1" x14ac:dyDescent="0.15">
      <c r="A224" s="214"/>
      <c r="B224" s="250"/>
      <c r="C224" s="250"/>
      <c r="D224" s="250"/>
      <c r="E224" s="250"/>
      <c r="F224" s="250"/>
      <c r="G224" s="250"/>
      <c r="H224" s="250"/>
      <c r="I224" s="250"/>
      <c r="J224" s="250"/>
      <c r="K224" s="250"/>
      <c r="L224" s="89"/>
      <c r="N224" s="162"/>
      <c r="O224" s="162"/>
      <c r="P224" s="162"/>
      <c r="Q224" s="162"/>
      <c r="R224" s="162"/>
      <c r="S224" s="162"/>
      <c r="T224" s="162"/>
      <c r="U224" s="162"/>
      <c r="V224" s="162"/>
      <c r="W224" s="162"/>
      <c r="X224" s="89"/>
      <c r="Z224" s="162"/>
      <c r="AA224" s="162"/>
      <c r="AB224" s="162"/>
      <c r="AC224" s="162"/>
      <c r="AD224" s="162"/>
      <c r="AE224" s="162"/>
      <c r="AF224" s="162"/>
      <c r="AG224" s="162"/>
      <c r="AH224" s="162"/>
      <c r="AI224" s="162"/>
    </row>
    <row r="225" spans="1:35" x14ac:dyDescent="0.15">
      <c r="A225" s="5" t="s">
        <v>153</v>
      </c>
      <c r="B225" s="31">
        <f>B200+1</f>
        <v>8</v>
      </c>
      <c r="K225" s="551" t="str">
        <f>IF(K248-W248&lt;=0,"現状のまま","メニュー変更")</f>
        <v>メニュー変更</v>
      </c>
      <c r="L225" s="2"/>
      <c r="M225" s="255" t="s">
        <v>153</v>
      </c>
      <c r="N225" s="256">
        <f>N200+1</f>
        <v>8</v>
      </c>
      <c r="O225" s="257"/>
      <c r="P225" s="257"/>
      <c r="Q225" s="257"/>
      <c r="R225" s="257"/>
      <c r="S225" s="257"/>
      <c r="T225" s="257"/>
      <c r="U225" s="257"/>
      <c r="V225" s="257"/>
      <c r="W225" s="257"/>
      <c r="X225" s="2"/>
      <c r="Y225" s="47" t="s">
        <v>153</v>
      </c>
      <c r="Z225" s="62" t="e">
        <f>Z200+1</f>
        <v>#REF!</v>
      </c>
    </row>
    <row r="226" spans="1:35" x14ac:dyDescent="0.15">
      <c r="K226" s="551"/>
      <c r="L226" s="2"/>
      <c r="M226" s="258"/>
      <c r="N226" s="257"/>
      <c r="O226" s="257"/>
      <c r="P226" s="257"/>
      <c r="Q226" s="257"/>
      <c r="R226" s="257"/>
      <c r="S226" s="257"/>
      <c r="T226" s="257"/>
      <c r="U226" s="257"/>
      <c r="V226" s="257"/>
      <c r="W226" s="257"/>
      <c r="X226" s="2"/>
    </row>
    <row r="227" spans="1:35" x14ac:dyDescent="0.15">
      <c r="K227" s="551"/>
      <c r="L227" s="2"/>
      <c r="M227" s="258"/>
      <c r="N227" s="257"/>
      <c r="O227" s="257"/>
      <c r="P227" s="257"/>
      <c r="Q227" s="257"/>
      <c r="R227" s="257"/>
      <c r="S227" s="257"/>
      <c r="T227" s="257"/>
      <c r="U227" s="257"/>
      <c r="V227" s="257"/>
      <c r="W227" s="257"/>
      <c r="X227" s="2"/>
    </row>
    <row r="228" spans="1:35" ht="17.25" x14ac:dyDescent="0.15">
      <c r="A228" s="552" t="str">
        <f>$A$5</f>
        <v>平成29年度小郡市役所庁舎外25施設電力需給</v>
      </c>
      <c r="B228" s="552"/>
      <c r="C228" s="552"/>
      <c r="D228" s="552"/>
      <c r="E228" s="552"/>
      <c r="F228" s="552"/>
      <c r="G228" s="552"/>
      <c r="H228" s="552"/>
      <c r="I228" s="552"/>
      <c r="J228" s="552"/>
      <c r="K228" s="552"/>
      <c r="L228" s="2"/>
      <c r="M228" s="721" t="str">
        <f>$A$5</f>
        <v>平成29年度小郡市役所庁舎外25施設電力需給</v>
      </c>
      <c r="N228" s="721"/>
      <c r="O228" s="721"/>
      <c r="P228" s="721"/>
      <c r="Q228" s="721"/>
      <c r="R228" s="721"/>
      <c r="S228" s="721"/>
      <c r="T228" s="721"/>
      <c r="U228" s="721"/>
      <c r="V228" s="721"/>
      <c r="W228" s="721"/>
      <c r="X228" s="2"/>
      <c r="Y228" s="553" t="str">
        <f>$A$5</f>
        <v>平成29年度小郡市役所庁舎外25施設電力需給</v>
      </c>
      <c r="Z228" s="553"/>
      <c r="AA228" s="553"/>
      <c r="AB228" s="553"/>
      <c r="AC228" s="553"/>
      <c r="AD228" s="553"/>
      <c r="AE228" s="553"/>
      <c r="AF228" s="553"/>
      <c r="AG228" s="553"/>
      <c r="AH228" s="553"/>
      <c r="AI228" s="553"/>
    </row>
    <row r="229" spans="1:35" x14ac:dyDescent="0.15">
      <c r="A229" s="554" t="str">
        <f>$A$6</f>
        <v>（平成３０年１月～平成３０年１２月期間中の予定金額）</v>
      </c>
      <c r="B229" s="554"/>
      <c r="C229" s="554"/>
      <c r="D229" s="554"/>
      <c r="E229" s="554"/>
      <c r="F229" s="554"/>
      <c r="G229" s="554"/>
      <c r="H229" s="554"/>
      <c r="I229" s="554"/>
      <c r="J229" s="554"/>
      <c r="K229" s="554"/>
      <c r="L229" s="2"/>
      <c r="M229" s="722" t="str">
        <f>$A$6</f>
        <v>（平成３０年１月～平成３０年１２月期間中の予定金額）</v>
      </c>
      <c r="N229" s="722"/>
      <c r="O229" s="722"/>
      <c r="P229" s="722"/>
      <c r="Q229" s="722"/>
      <c r="R229" s="722"/>
      <c r="S229" s="722"/>
      <c r="T229" s="722"/>
      <c r="U229" s="722"/>
      <c r="V229" s="722"/>
      <c r="W229" s="722"/>
      <c r="X229" s="2"/>
      <c r="Y229" s="555" t="str">
        <f>$A$6</f>
        <v>（平成３０年１月～平成３０年１２月期間中の予定金額）</v>
      </c>
      <c r="Z229" s="555"/>
      <c r="AA229" s="555"/>
      <c r="AB229" s="555"/>
      <c r="AC229" s="555"/>
      <c r="AD229" s="555"/>
      <c r="AE229" s="555"/>
      <c r="AF229" s="555"/>
      <c r="AG229" s="555"/>
      <c r="AH229" s="555"/>
      <c r="AI229" s="555"/>
    </row>
    <row r="230" spans="1:35" ht="14.25" thickBot="1" x14ac:dyDescent="0.2">
      <c r="A230" s="73" t="s">
        <v>117</v>
      </c>
      <c r="B230" s="73"/>
      <c r="K230" s="5" t="s">
        <v>84</v>
      </c>
      <c r="L230" s="2"/>
      <c r="M230" s="259" t="s">
        <v>117</v>
      </c>
      <c r="N230" s="259"/>
      <c r="O230" s="257"/>
      <c r="P230" s="257"/>
      <c r="Q230" s="257"/>
      <c r="R230" s="257"/>
      <c r="S230" s="257"/>
      <c r="T230" s="257"/>
      <c r="U230" s="257"/>
      <c r="V230" s="257"/>
      <c r="W230" s="255" t="s">
        <v>70</v>
      </c>
      <c r="X230" s="2"/>
      <c r="Y230" s="134" t="s">
        <v>117</v>
      </c>
      <c r="Z230" s="134"/>
      <c r="AI230" s="47" t="s">
        <v>70</v>
      </c>
    </row>
    <row r="231" spans="1:35" ht="18" customHeight="1" thickBot="1" x14ac:dyDescent="0.2">
      <c r="A231" s="556" t="s">
        <v>33</v>
      </c>
      <c r="B231" s="559" t="s">
        <v>24</v>
      </c>
      <c r="C231" s="560"/>
      <c r="D231" s="560"/>
      <c r="E231" s="561"/>
      <c r="F231" s="562" t="s">
        <v>34</v>
      </c>
      <c r="G231" s="563"/>
      <c r="H231" s="563"/>
      <c r="I231" s="563"/>
      <c r="J231" s="564"/>
      <c r="K231" s="565" t="s">
        <v>35</v>
      </c>
      <c r="L231" s="2"/>
      <c r="M231" s="723" t="s">
        <v>33</v>
      </c>
      <c r="N231" s="726" t="s">
        <v>24</v>
      </c>
      <c r="O231" s="727"/>
      <c r="P231" s="727"/>
      <c r="Q231" s="728"/>
      <c r="R231" s="729" t="s">
        <v>34</v>
      </c>
      <c r="S231" s="730"/>
      <c r="T231" s="730"/>
      <c r="U231" s="730"/>
      <c r="V231" s="731"/>
      <c r="W231" s="732" t="s">
        <v>35</v>
      </c>
      <c r="X231" s="2"/>
      <c r="Y231" s="567" t="s">
        <v>33</v>
      </c>
      <c r="Z231" s="570" t="s">
        <v>24</v>
      </c>
      <c r="AA231" s="571"/>
      <c r="AB231" s="571"/>
      <c r="AC231" s="572"/>
      <c r="AD231" s="573" t="s">
        <v>34</v>
      </c>
      <c r="AE231" s="574"/>
      <c r="AF231" s="574"/>
      <c r="AG231" s="574"/>
      <c r="AH231" s="575"/>
      <c r="AI231" s="544" t="s">
        <v>35</v>
      </c>
    </row>
    <row r="232" spans="1:35" ht="13.5" customHeight="1" x14ac:dyDescent="0.15">
      <c r="A232" s="557"/>
      <c r="B232" s="576" t="s">
        <v>28</v>
      </c>
      <c r="C232" s="565" t="s">
        <v>29</v>
      </c>
      <c r="D232" s="576" t="s">
        <v>25</v>
      </c>
      <c r="E232" s="577" t="s">
        <v>31</v>
      </c>
      <c r="F232" s="578" t="s">
        <v>36</v>
      </c>
      <c r="G232" s="579"/>
      <c r="H232" s="119"/>
      <c r="I232" s="565" t="s">
        <v>37</v>
      </c>
      <c r="J232" s="576" t="s">
        <v>38</v>
      </c>
      <c r="K232" s="566"/>
      <c r="L232" s="2"/>
      <c r="M232" s="724"/>
      <c r="N232" s="718" t="s">
        <v>28</v>
      </c>
      <c r="O232" s="732" t="s">
        <v>29</v>
      </c>
      <c r="P232" s="718" t="s">
        <v>25</v>
      </c>
      <c r="Q232" s="738" t="s">
        <v>31</v>
      </c>
      <c r="R232" s="734" t="s">
        <v>36</v>
      </c>
      <c r="S232" s="735"/>
      <c r="T232" s="260"/>
      <c r="U232" s="732" t="s">
        <v>37</v>
      </c>
      <c r="V232" s="718" t="s">
        <v>38</v>
      </c>
      <c r="W232" s="733"/>
      <c r="X232" s="2"/>
      <c r="Y232" s="568"/>
      <c r="Z232" s="546" t="s">
        <v>28</v>
      </c>
      <c r="AA232" s="544" t="s">
        <v>29</v>
      </c>
      <c r="AB232" s="546" t="s">
        <v>25</v>
      </c>
      <c r="AC232" s="582" t="s">
        <v>31</v>
      </c>
      <c r="AD232" s="540" t="s">
        <v>36</v>
      </c>
      <c r="AE232" s="541"/>
      <c r="AF232" s="135"/>
      <c r="AG232" s="544" t="s">
        <v>37</v>
      </c>
      <c r="AH232" s="546" t="s">
        <v>38</v>
      </c>
      <c r="AI232" s="545"/>
    </row>
    <row r="233" spans="1:35" x14ac:dyDescent="0.15">
      <c r="A233" s="557"/>
      <c r="B233" s="576"/>
      <c r="C233" s="566"/>
      <c r="D233" s="576"/>
      <c r="E233" s="576"/>
      <c r="F233" s="580"/>
      <c r="G233" s="581"/>
      <c r="H233" s="120"/>
      <c r="I233" s="566"/>
      <c r="J233" s="576"/>
      <c r="K233" s="566"/>
      <c r="L233" s="2"/>
      <c r="M233" s="724"/>
      <c r="N233" s="718"/>
      <c r="O233" s="733"/>
      <c r="P233" s="718"/>
      <c r="Q233" s="718"/>
      <c r="R233" s="736"/>
      <c r="S233" s="737"/>
      <c r="T233" s="261"/>
      <c r="U233" s="733"/>
      <c r="V233" s="718"/>
      <c r="W233" s="733"/>
      <c r="X233" s="2"/>
      <c r="Y233" s="568"/>
      <c r="Z233" s="546"/>
      <c r="AA233" s="545"/>
      <c r="AB233" s="546"/>
      <c r="AC233" s="546"/>
      <c r="AD233" s="542"/>
      <c r="AE233" s="543"/>
      <c r="AF233" s="136"/>
      <c r="AG233" s="545"/>
      <c r="AH233" s="546"/>
      <c r="AI233" s="545"/>
    </row>
    <row r="234" spans="1:35" ht="23.25" customHeight="1" x14ac:dyDescent="0.15">
      <c r="A234" s="557"/>
      <c r="B234" s="74" t="s">
        <v>13</v>
      </c>
      <c r="C234" s="75" t="s">
        <v>30</v>
      </c>
      <c r="D234" s="74" t="s">
        <v>14</v>
      </c>
      <c r="E234" s="74" t="s">
        <v>40</v>
      </c>
      <c r="F234" s="547" t="s">
        <v>15</v>
      </c>
      <c r="G234" s="548"/>
      <c r="H234" s="121"/>
      <c r="I234" s="75" t="s">
        <v>30</v>
      </c>
      <c r="J234" s="74" t="s">
        <v>40</v>
      </c>
      <c r="K234" s="74" t="s">
        <v>40</v>
      </c>
      <c r="L234" s="2"/>
      <c r="M234" s="724"/>
      <c r="N234" s="262" t="s">
        <v>152</v>
      </c>
      <c r="O234" s="263" t="s">
        <v>30</v>
      </c>
      <c r="P234" s="262" t="s">
        <v>14</v>
      </c>
      <c r="Q234" s="262" t="s">
        <v>40</v>
      </c>
      <c r="R234" s="719" t="s">
        <v>15</v>
      </c>
      <c r="S234" s="720"/>
      <c r="T234" s="264"/>
      <c r="U234" s="263" t="s">
        <v>30</v>
      </c>
      <c r="V234" s="262" t="s">
        <v>40</v>
      </c>
      <c r="W234" s="262" t="s">
        <v>40</v>
      </c>
      <c r="X234" s="2"/>
      <c r="Y234" s="568"/>
      <c r="Z234" s="137" t="s">
        <v>152</v>
      </c>
      <c r="AA234" s="138" t="s">
        <v>30</v>
      </c>
      <c r="AB234" s="137" t="s">
        <v>14</v>
      </c>
      <c r="AC234" s="137" t="s">
        <v>40</v>
      </c>
      <c r="AD234" s="549" t="s">
        <v>15</v>
      </c>
      <c r="AE234" s="550"/>
      <c r="AF234" s="139"/>
      <c r="AG234" s="138" t="s">
        <v>30</v>
      </c>
      <c r="AH234" s="137" t="s">
        <v>40</v>
      </c>
      <c r="AI234" s="137" t="s">
        <v>40</v>
      </c>
    </row>
    <row r="235" spans="1:35" ht="15.75" customHeight="1" thickBot="1" x14ac:dyDescent="0.2">
      <c r="A235" s="558"/>
      <c r="B235" s="76" t="s">
        <v>16</v>
      </c>
      <c r="C235" s="76" t="s">
        <v>17</v>
      </c>
      <c r="D235" s="76" t="s">
        <v>18</v>
      </c>
      <c r="E235" s="76" t="s">
        <v>19</v>
      </c>
      <c r="F235" s="77"/>
      <c r="G235" s="78" t="s">
        <v>20</v>
      </c>
      <c r="H235" s="78"/>
      <c r="I235" s="76" t="s">
        <v>21</v>
      </c>
      <c r="J235" s="76" t="s">
        <v>22</v>
      </c>
      <c r="K235" s="78" t="s">
        <v>23</v>
      </c>
      <c r="L235" s="2"/>
      <c r="M235" s="725"/>
      <c r="N235" s="265" t="s">
        <v>16</v>
      </c>
      <c r="O235" s="265" t="s">
        <v>17</v>
      </c>
      <c r="P235" s="265" t="s">
        <v>18</v>
      </c>
      <c r="Q235" s="265" t="s">
        <v>19</v>
      </c>
      <c r="R235" s="266"/>
      <c r="S235" s="267" t="s">
        <v>20</v>
      </c>
      <c r="T235" s="267"/>
      <c r="U235" s="265" t="s">
        <v>21</v>
      </c>
      <c r="V235" s="265" t="s">
        <v>22</v>
      </c>
      <c r="W235" s="267" t="s">
        <v>23</v>
      </c>
      <c r="X235" s="2"/>
      <c r="Y235" s="569"/>
      <c r="Z235" s="122" t="s">
        <v>16</v>
      </c>
      <c r="AA235" s="122" t="s">
        <v>17</v>
      </c>
      <c r="AB235" s="122" t="s">
        <v>18</v>
      </c>
      <c r="AC235" s="122" t="s">
        <v>19</v>
      </c>
      <c r="AD235" s="140"/>
      <c r="AE235" s="141" t="s">
        <v>20</v>
      </c>
      <c r="AF235" s="141"/>
      <c r="AG235" s="122" t="s">
        <v>21</v>
      </c>
      <c r="AH235" s="122" t="s">
        <v>22</v>
      </c>
      <c r="AI235" s="141" t="s">
        <v>23</v>
      </c>
    </row>
    <row r="236" spans="1:35" ht="30" customHeight="1" x14ac:dyDescent="0.15">
      <c r="A236" s="107" t="s">
        <v>83</v>
      </c>
      <c r="B236" s="112">
        <v>70</v>
      </c>
      <c r="C236" s="113">
        <v>1296</v>
      </c>
      <c r="D236" s="117">
        <v>100</v>
      </c>
      <c r="E236" s="79">
        <f t="shared" ref="E236:E247" si="123">ROUNDDOWN(B236*C236*((185-D236)/100),2)</f>
        <v>77112</v>
      </c>
      <c r="F236" s="80" t="s">
        <v>85</v>
      </c>
      <c r="G236" s="81">
        <v>8581</v>
      </c>
      <c r="H236" s="81"/>
      <c r="I236" s="116">
        <v>16.87</v>
      </c>
      <c r="J236" s="79">
        <f t="shared" ref="J236:J247" si="124">ROUNDDOWN(G236*I236,2)</f>
        <v>144761.47</v>
      </c>
      <c r="K236" s="82">
        <f t="shared" ref="K236:K247" si="125">ROUNDDOWN(J236+E236,2)</f>
        <v>221873.47</v>
      </c>
      <c r="L236" s="2"/>
      <c r="M236" s="268" t="s">
        <v>83</v>
      </c>
      <c r="N236" s="269">
        <v>70</v>
      </c>
      <c r="O236" s="270">
        <v>2008.8</v>
      </c>
      <c r="P236" s="269">
        <v>100</v>
      </c>
      <c r="Q236" s="271">
        <f t="shared" ref="Q236:Q247" si="126">ROUNDDOWN(N236*O236*((185-P236)/100),2)</f>
        <v>119523.6</v>
      </c>
      <c r="R236" s="279" t="s">
        <v>85</v>
      </c>
      <c r="S236" s="273">
        <v>8581</v>
      </c>
      <c r="T236" s="273"/>
      <c r="U236" s="270">
        <v>11.87</v>
      </c>
      <c r="V236" s="271">
        <f t="shared" ref="V236:V247" si="127">ROUNDDOWN(S236*U236,2)</f>
        <v>101856.47</v>
      </c>
      <c r="W236" s="274">
        <f t="shared" ref="W236:W247" si="128">ROUNDDOWN(V236+Q236,2)</f>
        <v>221380.07</v>
      </c>
      <c r="X236" s="2"/>
      <c r="Y236" s="142" t="s">
        <v>83</v>
      </c>
      <c r="Z236" s="143">
        <v>64</v>
      </c>
      <c r="AA236" s="123">
        <v>2008.8</v>
      </c>
      <c r="AB236" s="163">
        <v>100</v>
      </c>
      <c r="AC236" s="98">
        <f t="shared" ref="AC236:AC247" si="129">ROUNDDOWN(Z236*AA236*((185-AB236)/100),2)</f>
        <v>109278.72</v>
      </c>
      <c r="AD236" s="145" t="s">
        <v>85</v>
      </c>
      <c r="AE236" s="146">
        <v>8581</v>
      </c>
      <c r="AF236" s="146"/>
      <c r="AG236" s="124">
        <v>11.87</v>
      </c>
      <c r="AH236" s="98">
        <f t="shared" ref="AH236:AH247" si="130">ROUNDDOWN(AE236*AG236,2)</f>
        <v>101856.47</v>
      </c>
      <c r="AI236" s="147">
        <f t="shared" ref="AI236:AI247" si="131">ROUNDDOWN(AH236+AC236,2)</f>
        <v>211135.19</v>
      </c>
    </row>
    <row r="237" spans="1:35" ht="30" customHeight="1" x14ac:dyDescent="0.15">
      <c r="A237" s="105" t="s">
        <v>72</v>
      </c>
      <c r="B237" s="108">
        <f t="shared" ref="B237:B247" si="132">B236</f>
        <v>70</v>
      </c>
      <c r="C237" s="109">
        <f t="shared" ref="C237:C247" si="133">C236</f>
        <v>1296</v>
      </c>
      <c r="D237" s="114">
        <f t="shared" ref="D237:D247" si="134">D236</f>
        <v>100</v>
      </c>
      <c r="E237" s="79">
        <f t="shared" si="123"/>
        <v>77112</v>
      </c>
      <c r="F237" s="80" t="s">
        <v>112</v>
      </c>
      <c r="G237" s="81">
        <v>10058</v>
      </c>
      <c r="H237" s="81"/>
      <c r="I237" s="109">
        <f>I236</f>
        <v>16.87</v>
      </c>
      <c r="J237" s="79">
        <f t="shared" si="124"/>
        <v>169678.46</v>
      </c>
      <c r="K237" s="82">
        <f t="shared" si="125"/>
        <v>246790.46</v>
      </c>
      <c r="L237" s="2"/>
      <c r="M237" s="275" t="s">
        <v>72</v>
      </c>
      <c r="N237" s="276">
        <f t="shared" ref="N237:N247" si="135">N236</f>
        <v>70</v>
      </c>
      <c r="O237" s="277">
        <f t="shared" ref="O237:O247" si="136">O236</f>
        <v>2008.8</v>
      </c>
      <c r="P237" s="278">
        <f t="shared" ref="P237:P247" si="137">P236</f>
        <v>100</v>
      </c>
      <c r="Q237" s="271">
        <f t="shared" si="126"/>
        <v>119523.6</v>
      </c>
      <c r="R237" s="279" t="s">
        <v>112</v>
      </c>
      <c r="S237" s="273">
        <v>10058</v>
      </c>
      <c r="T237" s="273"/>
      <c r="U237" s="277">
        <f>U236</f>
        <v>11.87</v>
      </c>
      <c r="V237" s="271">
        <f t="shared" si="127"/>
        <v>119388.46</v>
      </c>
      <c r="W237" s="274">
        <f t="shared" si="128"/>
        <v>238912.06</v>
      </c>
      <c r="X237" s="2"/>
      <c r="Y237" s="148" t="s">
        <v>72</v>
      </c>
      <c r="Z237" s="149">
        <f t="shared" ref="Z237:Z247" si="138">Z236</f>
        <v>64</v>
      </c>
      <c r="AA237" s="125">
        <f t="shared" ref="AA237:AA247" si="139">AA236</f>
        <v>2008.8</v>
      </c>
      <c r="AB237" s="106">
        <f t="shared" ref="AB237:AB247" si="140">AB236</f>
        <v>100</v>
      </c>
      <c r="AC237" s="98">
        <f t="shared" si="129"/>
        <v>109278.72</v>
      </c>
      <c r="AD237" s="145" t="s">
        <v>112</v>
      </c>
      <c r="AE237" s="146">
        <v>10058</v>
      </c>
      <c r="AF237" s="146"/>
      <c r="AG237" s="125">
        <f>AG236</f>
        <v>11.87</v>
      </c>
      <c r="AH237" s="98">
        <f t="shared" si="130"/>
        <v>119388.46</v>
      </c>
      <c r="AI237" s="147">
        <f t="shared" si="131"/>
        <v>228667.18</v>
      </c>
    </row>
    <row r="238" spans="1:35" ht="30" customHeight="1" x14ac:dyDescent="0.15">
      <c r="A238" s="105" t="s">
        <v>73</v>
      </c>
      <c r="B238" s="108">
        <f t="shared" si="132"/>
        <v>70</v>
      </c>
      <c r="C238" s="109">
        <f t="shared" si="133"/>
        <v>1296</v>
      </c>
      <c r="D238" s="114">
        <f t="shared" si="134"/>
        <v>100</v>
      </c>
      <c r="E238" s="79">
        <f t="shared" si="123"/>
        <v>77112</v>
      </c>
      <c r="F238" s="80" t="s">
        <v>9</v>
      </c>
      <c r="G238" s="81">
        <v>8609</v>
      </c>
      <c r="H238" s="81"/>
      <c r="I238" s="109">
        <f>I237</f>
        <v>16.87</v>
      </c>
      <c r="J238" s="79">
        <f t="shared" si="124"/>
        <v>145233.82999999999</v>
      </c>
      <c r="K238" s="82">
        <f t="shared" si="125"/>
        <v>222345.83</v>
      </c>
      <c r="L238" s="2"/>
      <c r="M238" s="275" t="s">
        <v>73</v>
      </c>
      <c r="N238" s="276">
        <f t="shared" si="135"/>
        <v>70</v>
      </c>
      <c r="O238" s="277">
        <f t="shared" si="136"/>
        <v>2008.8</v>
      </c>
      <c r="P238" s="278">
        <f t="shared" si="137"/>
        <v>100</v>
      </c>
      <c r="Q238" s="271">
        <f t="shared" si="126"/>
        <v>119523.6</v>
      </c>
      <c r="R238" s="279" t="s">
        <v>9</v>
      </c>
      <c r="S238" s="273">
        <v>8609</v>
      </c>
      <c r="T238" s="273"/>
      <c r="U238" s="277">
        <f>U237</f>
        <v>11.87</v>
      </c>
      <c r="V238" s="271">
        <f t="shared" si="127"/>
        <v>102188.83</v>
      </c>
      <c r="W238" s="274">
        <f t="shared" si="128"/>
        <v>221712.43</v>
      </c>
      <c r="X238" s="2"/>
      <c r="Y238" s="148" t="s">
        <v>73</v>
      </c>
      <c r="Z238" s="149">
        <f t="shared" si="138"/>
        <v>64</v>
      </c>
      <c r="AA238" s="125">
        <f t="shared" si="139"/>
        <v>2008.8</v>
      </c>
      <c r="AB238" s="106">
        <f t="shared" si="140"/>
        <v>100</v>
      </c>
      <c r="AC238" s="98">
        <f t="shared" si="129"/>
        <v>109278.72</v>
      </c>
      <c r="AD238" s="145" t="s">
        <v>9</v>
      </c>
      <c r="AE238" s="146">
        <v>8609</v>
      </c>
      <c r="AF238" s="146"/>
      <c r="AG238" s="125">
        <f>AG237</f>
        <v>11.87</v>
      </c>
      <c r="AH238" s="98">
        <f t="shared" si="130"/>
        <v>102188.83</v>
      </c>
      <c r="AI238" s="147">
        <f t="shared" si="131"/>
        <v>211467.55</v>
      </c>
    </row>
    <row r="239" spans="1:35" ht="30" customHeight="1" x14ac:dyDescent="0.15">
      <c r="A239" s="105" t="s">
        <v>74</v>
      </c>
      <c r="B239" s="108">
        <f t="shared" si="132"/>
        <v>70</v>
      </c>
      <c r="C239" s="109">
        <f t="shared" si="133"/>
        <v>1296</v>
      </c>
      <c r="D239" s="114">
        <f t="shared" si="134"/>
        <v>100</v>
      </c>
      <c r="E239" s="79">
        <f t="shared" si="123"/>
        <v>77112</v>
      </c>
      <c r="F239" s="80" t="s">
        <v>9</v>
      </c>
      <c r="G239" s="81">
        <v>7590</v>
      </c>
      <c r="H239" s="81"/>
      <c r="I239" s="109">
        <f>I238</f>
        <v>16.87</v>
      </c>
      <c r="J239" s="79">
        <f t="shared" si="124"/>
        <v>128043.3</v>
      </c>
      <c r="K239" s="82">
        <f t="shared" si="125"/>
        <v>205155.3</v>
      </c>
      <c r="L239" s="2"/>
      <c r="M239" s="275" t="s">
        <v>74</v>
      </c>
      <c r="N239" s="276">
        <f t="shared" si="135"/>
        <v>70</v>
      </c>
      <c r="O239" s="277">
        <f t="shared" si="136"/>
        <v>2008.8</v>
      </c>
      <c r="P239" s="278">
        <f t="shared" si="137"/>
        <v>100</v>
      </c>
      <c r="Q239" s="271">
        <f t="shared" si="126"/>
        <v>119523.6</v>
      </c>
      <c r="R239" s="279" t="s">
        <v>9</v>
      </c>
      <c r="S239" s="273">
        <v>7590</v>
      </c>
      <c r="T239" s="273"/>
      <c r="U239" s="277">
        <f>U238</f>
        <v>11.87</v>
      </c>
      <c r="V239" s="271">
        <f t="shared" si="127"/>
        <v>90093.3</v>
      </c>
      <c r="W239" s="274">
        <f t="shared" si="128"/>
        <v>209616.9</v>
      </c>
      <c r="X239" s="2"/>
      <c r="Y239" s="148" t="s">
        <v>74</v>
      </c>
      <c r="Z239" s="149">
        <f t="shared" si="138"/>
        <v>64</v>
      </c>
      <c r="AA239" s="125">
        <f t="shared" si="139"/>
        <v>2008.8</v>
      </c>
      <c r="AB239" s="106">
        <f t="shared" si="140"/>
        <v>100</v>
      </c>
      <c r="AC239" s="98">
        <f t="shared" si="129"/>
        <v>109278.72</v>
      </c>
      <c r="AD239" s="145" t="s">
        <v>9</v>
      </c>
      <c r="AE239" s="146">
        <v>7590</v>
      </c>
      <c r="AF239" s="146"/>
      <c r="AG239" s="125">
        <f>AG238</f>
        <v>11.87</v>
      </c>
      <c r="AH239" s="98">
        <f t="shared" si="130"/>
        <v>90093.3</v>
      </c>
      <c r="AI239" s="147">
        <f t="shared" si="131"/>
        <v>199372.02</v>
      </c>
    </row>
    <row r="240" spans="1:35" ht="30" customHeight="1" x14ac:dyDescent="0.15">
      <c r="A240" s="105" t="s">
        <v>75</v>
      </c>
      <c r="B240" s="108">
        <f t="shared" si="132"/>
        <v>70</v>
      </c>
      <c r="C240" s="109">
        <f t="shared" si="133"/>
        <v>1296</v>
      </c>
      <c r="D240" s="114">
        <f t="shared" si="134"/>
        <v>100</v>
      </c>
      <c r="E240" s="79">
        <f t="shared" si="123"/>
        <v>77112</v>
      </c>
      <c r="F240" s="80" t="s">
        <v>9</v>
      </c>
      <c r="G240" s="81">
        <v>9018</v>
      </c>
      <c r="H240" s="81"/>
      <c r="I240" s="109">
        <f>I239</f>
        <v>16.87</v>
      </c>
      <c r="J240" s="79">
        <f t="shared" si="124"/>
        <v>152133.66</v>
      </c>
      <c r="K240" s="82">
        <f t="shared" si="125"/>
        <v>229245.66</v>
      </c>
      <c r="L240" s="2"/>
      <c r="M240" s="275" t="s">
        <v>75</v>
      </c>
      <c r="N240" s="276">
        <f t="shared" si="135"/>
        <v>70</v>
      </c>
      <c r="O240" s="277">
        <f t="shared" si="136"/>
        <v>2008.8</v>
      </c>
      <c r="P240" s="278">
        <f t="shared" si="137"/>
        <v>100</v>
      </c>
      <c r="Q240" s="271">
        <f t="shared" si="126"/>
        <v>119523.6</v>
      </c>
      <c r="R240" s="279" t="s">
        <v>9</v>
      </c>
      <c r="S240" s="273">
        <v>9018</v>
      </c>
      <c r="T240" s="273"/>
      <c r="U240" s="277">
        <f>U239</f>
        <v>11.87</v>
      </c>
      <c r="V240" s="271">
        <f t="shared" si="127"/>
        <v>107043.66</v>
      </c>
      <c r="W240" s="274">
        <f t="shared" si="128"/>
        <v>226567.26</v>
      </c>
      <c r="X240" s="2"/>
      <c r="Y240" s="148" t="s">
        <v>75</v>
      </c>
      <c r="Z240" s="149">
        <f t="shared" si="138"/>
        <v>64</v>
      </c>
      <c r="AA240" s="125">
        <f t="shared" si="139"/>
        <v>2008.8</v>
      </c>
      <c r="AB240" s="106">
        <f t="shared" si="140"/>
        <v>100</v>
      </c>
      <c r="AC240" s="98">
        <f t="shared" si="129"/>
        <v>109278.72</v>
      </c>
      <c r="AD240" s="145" t="s">
        <v>9</v>
      </c>
      <c r="AE240" s="146">
        <v>9018</v>
      </c>
      <c r="AF240" s="146"/>
      <c r="AG240" s="125">
        <f>AG239</f>
        <v>11.87</v>
      </c>
      <c r="AH240" s="98">
        <f t="shared" si="130"/>
        <v>107043.66</v>
      </c>
      <c r="AI240" s="147">
        <f t="shared" si="131"/>
        <v>216322.38</v>
      </c>
    </row>
    <row r="241" spans="1:35" ht="30" customHeight="1" x14ac:dyDescent="0.15">
      <c r="A241" s="105" t="s">
        <v>76</v>
      </c>
      <c r="B241" s="108">
        <f t="shared" si="132"/>
        <v>70</v>
      </c>
      <c r="C241" s="109">
        <f t="shared" si="133"/>
        <v>1296</v>
      </c>
      <c r="D241" s="114">
        <f t="shared" si="134"/>
        <v>100</v>
      </c>
      <c r="E241" s="79">
        <f t="shared" si="123"/>
        <v>77112</v>
      </c>
      <c r="F241" s="80" t="s">
        <v>9</v>
      </c>
      <c r="G241" s="81">
        <v>10452</v>
      </c>
      <c r="H241" s="81"/>
      <c r="I241" s="109">
        <f>I240</f>
        <v>16.87</v>
      </c>
      <c r="J241" s="79">
        <f t="shared" si="124"/>
        <v>176325.24</v>
      </c>
      <c r="K241" s="82">
        <f t="shared" si="125"/>
        <v>253437.24</v>
      </c>
      <c r="L241" s="2"/>
      <c r="M241" s="275" t="s">
        <v>76</v>
      </c>
      <c r="N241" s="276">
        <f t="shared" si="135"/>
        <v>70</v>
      </c>
      <c r="O241" s="277">
        <f t="shared" si="136"/>
        <v>2008.8</v>
      </c>
      <c r="P241" s="278">
        <f t="shared" si="137"/>
        <v>100</v>
      </c>
      <c r="Q241" s="271">
        <f t="shared" si="126"/>
        <v>119523.6</v>
      </c>
      <c r="R241" s="279" t="s">
        <v>9</v>
      </c>
      <c r="S241" s="273">
        <v>10452</v>
      </c>
      <c r="T241" s="273"/>
      <c r="U241" s="277">
        <f>U240</f>
        <v>11.87</v>
      </c>
      <c r="V241" s="271">
        <f t="shared" si="127"/>
        <v>124065.24</v>
      </c>
      <c r="W241" s="274">
        <f t="shared" si="128"/>
        <v>243588.84</v>
      </c>
      <c r="X241" s="2"/>
      <c r="Y241" s="148" t="s">
        <v>76</v>
      </c>
      <c r="Z241" s="149">
        <f t="shared" si="138"/>
        <v>64</v>
      </c>
      <c r="AA241" s="125">
        <f t="shared" si="139"/>
        <v>2008.8</v>
      </c>
      <c r="AB241" s="106">
        <f t="shared" si="140"/>
        <v>100</v>
      </c>
      <c r="AC241" s="98">
        <f t="shared" si="129"/>
        <v>109278.72</v>
      </c>
      <c r="AD241" s="145" t="s">
        <v>9</v>
      </c>
      <c r="AE241" s="146">
        <v>10452</v>
      </c>
      <c r="AF241" s="146"/>
      <c r="AG241" s="125">
        <f>AG240</f>
        <v>11.87</v>
      </c>
      <c r="AH241" s="98">
        <f t="shared" si="130"/>
        <v>124065.24</v>
      </c>
      <c r="AI241" s="147">
        <f t="shared" si="131"/>
        <v>233343.96</v>
      </c>
    </row>
    <row r="242" spans="1:35" ht="30" customHeight="1" x14ac:dyDescent="0.15">
      <c r="A242" s="105" t="s">
        <v>77</v>
      </c>
      <c r="B242" s="108">
        <f t="shared" si="132"/>
        <v>70</v>
      </c>
      <c r="C242" s="109">
        <f t="shared" si="133"/>
        <v>1296</v>
      </c>
      <c r="D242" s="114">
        <f t="shared" si="134"/>
        <v>100</v>
      </c>
      <c r="E242" s="79">
        <f t="shared" si="123"/>
        <v>77112</v>
      </c>
      <c r="F242" s="80" t="s">
        <v>71</v>
      </c>
      <c r="G242" s="81">
        <v>9546</v>
      </c>
      <c r="H242" s="81"/>
      <c r="I242" s="116">
        <v>18.29</v>
      </c>
      <c r="J242" s="79">
        <f t="shared" si="124"/>
        <v>174596.34</v>
      </c>
      <c r="K242" s="82">
        <f t="shared" si="125"/>
        <v>251708.34</v>
      </c>
      <c r="L242" s="2"/>
      <c r="M242" s="275" t="s">
        <v>77</v>
      </c>
      <c r="N242" s="276">
        <f t="shared" si="135"/>
        <v>70</v>
      </c>
      <c r="O242" s="277">
        <f t="shared" si="136"/>
        <v>2008.8</v>
      </c>
      <c r="P242" s="278">
        <f t="shared" si="137"/>
        <v>100</v>
      </c>
      <c r="Q242" s="271">
        <f t="shared" si="126"/>
        <v>119523.6</v>
      </c>
      <c r="R242" s="279" t="s">
        <v>71</v>
      </c>
      <c r="S242" s="273">
        <v>9546</v>
      </c>
      <c r="T242" s="273"/>
      <c r="U242" s="270">
        <v>12.78</v>
      </c>
      <c r="V242" s="271">
        <f t="shared" si="127"/>
        <v>121997.88</v>
      </c>
      <c r="W242" s="274">
        <f t="shared" si="128"/>
        <v>241521.48</v>
      </c>
      <c r="X242" s="2"/>
      <c r="Y242" s="148" t="s">
        <v>77</v>
      </c>
      <c r="Z242" s="149">
        <f t="shared" si="138"/>
        <v>64</v>
      </c>
      <c r="AA242" s="125">
        <f t="shared" si="139"/>
        <v>2008.8</v>
      </c>
      <c r="AB242" s="106">
        <f t="shared" si="140"/>
        <v>100</v>
      </c>
      <c r="AC242" s="98">
        <f t="shared" si="129"/>
        <v>109278.72</v>
      </c>
      <c r="AD242" s="145" t="s">
        <v>71</v>
      </c>
      <c r="AE242" s="146">
        <v>9546</v>
      </c>
      <c r="AF242" s="146"/>
      <c r="AG242" s="124">
        <v>12.78</v>
      </c>
      <c r="AH242" s="98">
        <f t="shared" si="130"/>
        <v>121997.88</v>
      </c>
      <c r="AI242" s="147">
        <f t="shared" si="131"/>
        <v>231276.6</v>
      </c>
    </row>
    <row r="243" spans="1:35" ht="30" customHeight="1" x14ac:dyDescent="0.15">
      <c r="A243" s="105" t="s">
        <v>78</v>
      </c>
      <c r="B243" s="108">
        <f t="shared" si="132"/>
        <v>70</v>
      </c>
      <c r="C243" s="109">
        <f t="shared" si="133"/>
        <v>1296</v>
      </c>
      <c r="D243" s="114">
        <f t="shared" si="134"/>
        <v>100</v>
      </c>
      <c r="E243" s="79">
        <f t="shared" si="123"/>
        <v>77112</v>
      </c>
      <c r="F243" s="80" t="s">
        <v>71</v>
      </c>
      <c r="G243" s="81">
        <v>7692</v>
      </c>
      <c r="H243" s="81"/>
      <c r="I243" s="109">
        <f>I242</f>
        <v>18.29</v>
      </c>
      <c r="J243" s="79">
        <f t="shared" si="124"/>
        <v>140686.68</v>
      </c>
      <c r="K243" s="82">
        <f t="shared" si="125"/>
        <v>217798.68</v>
      </c>
      <c r="L243" s="2"/>
      <c r="M243" s="275" t="s">
        <v>78</v>
      </c>
      <c r="N243" s="276">
        <f t="shared" si="135"/>
        <v>70</v>
      </c>
      <c r="O243" s="277">
        <f t="shared" si="136"/>
        <v>2008.8</v>
      </c>
      <c r="P243" s="278">
        <f t="shared" si="137"/>
        <v>100</v>
      </c>
      <c r="Q243" s="271">
        <f t="shared" si="126"/>
        <v>119523.6</v>
      </c>
      <c r="R243" s="279" t="s">
        <v>71</v>
      </c>
      <c r="S243" s="273">
        <v>7692</v>
      </c>
      <c r="T243" s="273"/>
      <c r="U243" s="277">
        <f>U242</f>
        <v>12.78</v>
      </c>
      <c r="V243" s="271">
        <f t="shared" si="127"/>
        <v>98303.76</v>
      </c>
      <c r="W243" s="274">
        <f t="shared" si="128"/>
        <v>217827.36</v>
      </c>
      <c r="X243" s="2"/>
      <c r="Y243" s="148" t="s">
        <v>78</v>
      </c>
      <c r="Z243" s="149">
        <f t="shared" si="138"/>
        <v>64</v>
      </c>
      <c r="AA243" s="125">
        <f t="shared" si="139"/>
        <v>2008.8</v>
      </c>
      <c r="AB243" s="106">
        <f t="shared" si="140"/>
        <v>100</v>
      </c>
      <c r="AC243" s="98">
        <f t="shared" si="129"/>
        <v>109278.72</v>
      </c>
      <c r="AD243" s="145" t="s">
        <v>71</v>
      </c>
      <c r="AE243" s="146">
        <v>7692</v>
      </c>
      <c r="AF243" s="146"/>
      <c r="AG243" s="125">
        <f>AG242</f>
        <v>12.78</v>
      </c>
      <c r="AH243" s="98">
        <f t="shared" si="130"/>
        <v>98303.76</v>
      </c>
      <c r="AI243" s="147">
        <f t="shared" si="131"/>
        <v>207582.48</v>
      </c>
    </row>
    <row r="244" spans="1:35" ht="30" customHeight="1" x14ac:dyDescent="0.15">
      <c r="A244" s="105" t="s">
        <v>79</v>
      </c>
      <c r="B244" s="108">
        <f t="shared" si="132"/>
        <v>70</v>
      </c>
      <c r="C244" s="109">
        <f t="shared" si="133"/>
        <v>1296</v>
      </c>
      <c r="D244" s="114">
        <f t="shared" si="134"/>
        <v>100</v>
      </c>
      <c r="E244" s="79">
        <f t="shared" si="123"/>
        <v>77112</v>
      </c>
      <c r="F244" s="80" t="s">
        <v>71</v>
      </c>
      <c r="G244" s="81">
        <f>7704+1926</f>
        <v>9630</v>
      </c>
      <c r="H244" s="81"/>
      <c r="I244" s="109">
        <f>I243</f>
        <v>18.29</v>
      </c>
      <c r="J244" s="79">
        <f t="shared" si="124"/>
        <v>176132.7</v>
      </c>
      <c r="K244" s="82">
        <f t="shared" si="125"/>
        <v>253244.7</v>
      </c>
      <c r="L244" s="2"/>
      <c r="M244" s="275" t="s">
        <v>79</v>
      </c>
      <c r="N244" s="276">
        <f t="shared" si="135"/>
        <v>70</v>
      </c>
      <c r="O244" s="277">
        <f t="shared" si="136"/>
        <v>2008.8</v>
      </c>
      <c r="P244" s="278">
        <f t="shared" si="137"/>
        <v>100</v>
      </c>
      <c r="Q244" s="271">
        <f t="shared" si="126"/>
        <v>119523.6</v>
      </c>
      <c r="R244" s="279" t="s">
        <v>71</v>
      </c>
      <c r="S244" s="273">
        <f>7704+1926</f>
        <v>9630</v>
      </c>
      <c r="T244" s="273"/>
      <c r="U244" s="277">
        <f>U243</f>
        <v>12.78</v>
      </c>
      <c r="V244" s="271">
        <f t="shared" si="127"/>
        <v>123071.4</v>
      </c>
      <c r="W244" s="274">
        <f t="shared" si="128"/>
        <v>242595</v>
      </c>
      <c r="X244" s="2"/>
      <c r="Y244" s="148" t="s">
        <v>79</v>
      </c>
      <c r="Z244" s="149">
        <f t="shared" si="138"/>
        <v>64</v>
      </c>
      <c r="AA244" s="125">
        <f t="shared" si="139"/>
        <v>2008.8</v>
      </c>
      <c r="AB244" s="106">
        <f t="shared" si="140"/>
        <v>100</v>
      </c>
      <c r="AC244" s="98">
        <f t="shared" si="129"/>
        <v>109278.72</v>
      </c>
      <c r="AD244" s="145" t="s">
        <v>71</v>
      </c>
      <c r="AE244" s="146">
        <f>7704+1926</f>
        <v>9630</v>
      </c>
      <c r="AF244" s="146"/>
      <c r="AG244" s="125">
        <f>AG243</f>
        <v>12.78</v>
      </c>
      <c r="AH244" s="98">
        <f t="shared" si="130"/>
        <v>123071.4</v>
      </c>
      <c r="AI244" s="147">
        <f t="shared" si="131"/>
        <v>232350.12</v>
      </c>
    </row>
    <row r="245" spans="1:35" ht="30" customHeight="1" x14ac:dyDescent="0.15">
      <c r="A245" s="105" t="s">
        <v>80</v>
      </c>
      <c r="B245" s="108">
        <f t="shared" si="132"/>
        <v>70</v>
      </c>
      <c r="C245" s="109">
        <f t="shared" si="133"/>
        <v>1296</v>
      </c>
      <c r="D245" s="114">
        <f t="shared" si="134"/>
        <v>100</v>
      </c>
      <c r="E245" s="79">
        <f t="shared" si="123"/>
        <v>77112</v>
      </c>
      <c r="F245" s="80" t="s">
        <v>9</v>
      </c>
      <c r="G245" s="81">
        <v>8538</v>
      </c>
      <c r="H245" s="81"/>
      <c r="I245" s="109">
        <f>I236</f>
        <v>16.87</v>
      </c>
      <c r="J245" s="79">
        <f t="shared" si="124"/>
        <v>144036.06</v>
      </c>
      <c r="K245" s="82">
        <f t="shared" si="125"/>
        <v>221148.06</v>
      </c>
      <c r="L245" s="2"/>
      <c r="M245" s="275" t="s">
        <v>80</v>
      </c>
      <c r="N245" s="276">
        <f t="shared" si="135"/>
        <v>70</v>
      </c>
      <c r="O245" s="277">
        <f t="shared" si="136"/>
        <v>2008.8</v>
      </c>
      <c r="P245" s="278">
        <f t="shared" si="137"/>
        <v>100</v>
      </c>
      <c r="Q245" s="271">
        <f t="shared" si="126"/>
        <v>119523.6</v>
      </c>
      <c r="R245" s="279" t="s">
        <v>9</v>
      </c>
      <c r="S245" s="273">
        <v>8538</v>
      </c>
      <c r="T245" s="273"/>
      <c r="U245" s="277">
        <f>U236</f>
        <v>11.87</v>
      </c>
      <c r="V245" s="271">
        <f t="shared" si="127"/>
        <v>101346.06</v>
      </c>
      <c r="W245" s="274">
        <f t="shared" si="128"/>
        <v>220869.66</v>
      </c>
      <c r="X245" s="2"/>
      <c r="Y245" s="148" t="s">
        <v>80</v>
      </c>
      <c r="Z245" s="149">
        <f t="shared" si="138"/>
        <v>64</v>
      </c>
      <c r="AA245" s="125">
        <f t="shared" si="139"/>
        <v>2008.8</v>
      </c>
      <c r="AB245" s="106">
        <f t="shared" si="140"/>
        <v>100</v>
      </c>
      <c r="AC245" s="98">
        <f t="shared" si="129"/>
        <v>109278.72</v>
      </c>
      <c r="AD245" s="145" t="s">
        <v>9</v>
      </c>
      <c r="AE245" s="146">
        <v>8538</v>
      </c>
      <c r="AF245" s="146"/>
      <c r="AG245" s="125">
        <f>AG236</f>
        <v>11.87</v>
      </c>
      <c r="AH245" s="98">
        <f t="shared" si="130"/>
        <v>101346.06</v>
      </c>
      <c r="AI245" s="147">
        <f t="shared" si="131"/>
        <v>210624.78</v>
      </c>
    </row>
    <row r="246" spans="1:35" ht="30" customHeight="1" x14ac:dyDescent="0.15">
      <c r="A246" s="105" t="s">
        <v>81</v>
      </c>
      <c r="B246" s="108">
        <f t="shared" si="132"/>
        <v>70</v>
      </c>
      <c r="C246" s="109">
        <f t="shared" si="133"/>
        <v>1296</v>
      </c>
      <c r="D246" s="114">
        <f t="shared" si="134"/>
        <v>100</v>
      </c>
      <c r="E246" s="79">
        <f t="shared" si="123"/>
        <v>77112</v>
      </c>
      <c r="F246" s="80" t="s">
        <v>9</v>
      </c>
      <c r="G246" s="81">
        <v>8424</v>
      </c>
      <c r="H246" s="81"/>
      <c r="I246" s="118">
        <f>I245</f>
        <v>16.87</v>
      </c>
      <c r="J246" s="79">
        <f t="shared" si="124"/>
        <v>142112.88</v>
      </c>
      <c r="K246" s="82">
        <f t="shared" si="125"/>
        <v>219224.88</v>
      </c>
      <c r="L246" s="2"/>
      <c r="M246" s="275" t="s">
        <v>81</v>
      </c>
      <c r="N246" s="276">
        <f t="shared" si="135"/>
        <v>70</v>
      </c>
      <c r="O246" s="277">
        <f t="shared" si="136"/>
        <v>2008.8</v>
      </c>
      <c r="P246" s="278">
        <f t="shared" si="137"/>
        <v>100</v>
      </c>
      <c r="Q246" s="271">
        <f t="shared" si="126"/>
        <v>119523.6</v>
      </c>
      <c r="R246" s="279" t="s">
        <v>9</v>
      </c>
      <c r="S246" s="273">
        <v>8424</v>
      </c>
      <c r="T246" s="273"/>
      <c r="U246" s="280">
        <f>U245</f>
        <v>11.87</v>
      </c>
      <c r="V246" s="271">
        <f t="shared" si="127"/>
        <v>99992.88</v>
      </c>
      <c r="W246" s="274">
        <f t="shared" si="128"/>
        <v>219516.48</v>
      </c>
      <c r="X246" s="2"/>
      <c r="Y246" s="148" t="s">
        <v>81</v>
      </c>
      <c r="Z246" s="149">
        <f t="shared" si="138"/>
        <v>64</v>
      </c>
      <c r="AA246" s="125">
        <f t="shared" si="139"/>
        <v>2008.8</v>
      </c>
      <c r="AB246" s="106">
        <f t="shared" si="140"/>
        <v>100</v>
      </c>
      <c r="AC246" s="98">
        <f t="shared" si="129"/>
        <v>109278.72</v>
      </c>
      <c r="AD246" s="145" t="s">
        <v>9</v>
      </c>
      <c r="AE246" s="146">
        <v>8424</v>
      </c>
      <c r="AF246" s="146"/>
      <c r="AG246" s="127">
        <f>AG245</f>
        <v>11.87</v>
      </c>
      <c r="AH246" s="98">
        <f t="shared" si="130"/>
        <v>99992.88</v>
      </c>
      <c r="AI246" s="147">
        <f t="shared" si="131"/>
        <v>209271.6</v>
      </c>
    </row>
    <row r="247" spans="1:35" ht="30" customHeight="1" thickBot="1" x14ac:dyDescent="0.2">
      <c r="A247" s="84" t="s">
        <v>82</v>
      </c>
      <c r="B247" s="110">
        <f t="shared" si="132"/>
        <v>70</v>
      </c>
      <c r="C247" s="111">
        <f t="shared" si="133"/>
        <v>1296</v>
      </c>
      <c r="D247" s="115">
        <f t="shared" si="134"/>
        <v>100</v>
      </c>
      <c r="E247" s="85">
        <f t="shared" si="123"/>
        <v>77112</v>
      </c>
      <c r="F247" s="86" t="s">
        <v>9</v>
      </c>
      <c r="G247" s="87">
        <v>6048</v>
      </c>
      <c r="H247" s="87"/>
      <c r="I247" s="111">
        <f>I246</f>
        <v>16.87</v>
      </c>
      <c r="J247" s="85">
        <f t="shared" si="124"/>
        <v>102029.75999999999</v>
      </c>
      <c r="K247" s="88">
        <f t="shared" si="125"/>
        <v>179141.76000000001</v>
      </c>
      <c r="L247" s="89"/>
      <c r="M247" s="281" t="s">
        <v>82</v>
      </c>
      <c r="N247" s="282">
        <f t="shared" si="135"/>
        <v>70</v>
      </c>
      <c r="O247" s="283">
        <f t="shared" si="136"/>
        <v>2008.8</v>
      </c>
      <c r="P247" s="282">
        <f t="shared" si="137"/>
        <v>100</v>
      </c>
      <c r="Q247" s="284">
        <f t="shared" si="126"/>
        <v>119523.6</v>
      </c>
      <c r="R247" s="285" t="s">
        <v>9</v>
      </c>
      <c r="S247" s="286">
        <v>6048</v>
      </c>
      <c r="T247" s="286"/>
      <c r="U247" s="283">
        <f>U246</f>
        <v>11.87</v>
      </c>
      <c r="V247" s="284">
        <f t="shared" si="127"/>
        <v>71789.759999999995</v>
      </c>
      <c r="W247" s="287">
        <f t="shared" si="128"/>
        <v>191313.36</v>
      </c>
      <c r="X247" s="89"/>
      <c r="Y247" s="150" t="s">
        <v>82</v>
      </c>
      <c r="Z247" s="151">
        <f t="shared" si="138"/>
        <v>64</v>
      </c>
      <c r="AA247" s="126">
        <f t="shared" si="139"/>
        <v>2008.8</v>
      </c>
      <c r="AB247" s="152">
        <f t="shared" si="140"/>
        <v>100</v>
      </c>
      <c r="AC247" s="99">
        <f t="shared" si="129"/>
        <v>109278.72</v>
      </c>
      <c r="AD247" s="153" t="s">
        <v>9</v>
      </c>
      <c r="AE247" s="154">
        <v>6048</v>
      </c>
      <c r="AF247" s="154"/>
      <c r="AG247" s="126">
        <f>AG246</f>
        <v>11.87</v>
      </c>
      <c r="AH247" s="99">
        <f t="shared" si="130"/>
        <v>71789.759999999995</v>
      </c>
      <c r="AI247" s="155">
        <f t="shared" si="131"/>
        <v>181068.48</v>
      </c>
    </row>
    <row r="248" spans="1:35" ht="30" customHeight="1" thickBot="1" x14ac:dyDescent="0.2">
      <c r="A248" s="90" t="s">
        <v>41</v>
      </c>
      <c r="B248" s="91"/>
      <c r="C248" s="91"/>
      <c r="D248" s="91"/>
      <c r="E248" s="92">
        <f>SUM(E236:E247)</f>
        <v>925344</v>
      </c>
      <c r="F248" s="93"/>
      <c r="G248" s="94">
        <f>SUM(G236:G247)</f>
        <v>104186</v>
      </c>
      <c r="H248" s="94"/>
      <c r="I248" s="91"/>
      <c r="J248" s="92">
        <f>SUM(J236:J247)</f>
        <v>1795770.3800000001</v>
      </c>
      <c r="K248" s="95">
        <f>SUM(K236:K247)</f>
        <v>2721114.38</v>
      </c>
      <c r="L248" s="89" t="s">
        <v>113</v>
      </c>
      <c r="M248" s="288" t="s">
        <v>41</v>
      </c>
      <c r="N248" s="289"/>
      <c r="O248" s="289"/>
      <c r="P248" s="289"/>
      <c r="Q248" s="290">
        <f>SUM(Q236:Q247)</f>
        <v>1434283.2000000002</v>
      </c>
      <c r="R248" s="291"/>
      <c r="S248" s="292">
        <f>SUM(S236:S247)</f>
        <v>104186</v>
      </c>
      <c r="T248" s="292"/>
      <c r="U248" s="289"/>
      <c r="V248" s="290">
        <f>SUM(V236:V247)</f>
        <v>1261137.7</v>
      </c>
      <c r="W248" s="293">
        <f>SUM(W236:W247)</f>
        <v>2695420.9000000004</v>
      </c>
      <c r="X248" s="89" t="s">
        <v>113</v>
      </c>
      <c r="Y248" s="164" t="s">
        <v>41</v>
      </c>
      <c r="Z248" s="157"/>
      <c r="AA248" s="157"/>
      <c r="AB248" s="157"/>
      <c r="AC248" s="158">
        <f>SUM(AC236:AC247)</f>
        <v>1311344.6399999999</v>
      </c>
      <c r="AD248" s="159"/>
      <c r="AE248" s="160">
        <f>SUM(AE236:AE247)</f>
        <v>104186</v>
      </c>
      <c r="AF248" s="160"/>
      <c r="AG248" s="157"/>
      <c r="AH248" s="158">
        <f>SUM(AH236:AH247)</f>
        <v>1261137.7</v>
      </c>
      <c r="AI248" s="161">
        <f>SUM(AI236:AI247)</f>
        <v>2572482.34</v>
      </c>
    </row>
    <row r="249" spans="1:35" ht="15" customHeight="1" x14ac:dyDescent="0.15">
      <c r="B249" s="4"/>
      <c r="C249" s="4"/>
      <c r="D249" s="4"/>
      <c r="E249" s="4"/>
      <c r="F249" s="4"/>
      <c r="G249" s="4"/>
      <c r="H249" s="4"/>
      <c r="I249" s="4"/>
      <c r="J249" s="4"/>
      <c r="K249" s="4"/>
      <c r="L249" s="89"/>
      <c r="M249" s="258"/>
      <c r="N249" s="294"/>
      <c r="O249" s="294"/>
      <c r="P249" s="294"/>
      <c r="Q249" s="294"/>
      <c r="R249" s="294"/>
      <c r="S249" s="294"/>
      <c r="T249" s="294"/>
      <c r="U249" s="294"/>
      <c r="V249" s="294"/>
      <c r="W249" s="294"/>
      <c r="X249" s="89"/>
      <c r="Z249" s="162"/>
      <c r="AA249" s="162"/>
      <c r="AB249" s="162"/>
      <c r="AC249" s="162"/>
      <c r="AD249" s="162"/>
      <c r="AE249" s="162"/>
      <c r="AF249" s="162"/>
      <c r="AG249" s="162"/>
      <c r="AH249" s="162"/>
      <c r="AI249" s="162"/>
    </row>
    <row r="250" spans="1:35" x14ac:dyDescent="0.15">
      <c r="A250" s="211" t="s">
        <v>153</v>
      </c>
      <c r="B250" s="212">
        <f>B225+1</f>
        <v>9</v>
      </c>
      <c r="C250" s="213"/>
      <c r="D250" s="213"/>
      <c r="E250" s="213"/>
      <c r="F250" s="213"/>
      <c r="G250" s="213"/>
      <c r="H250" s="213"/>
      <c r="I250" s="213"/>
      <c r="J250" s="213"/>
      <c r="K250" s="692" t="str">
        <f>IF(K273-W273&lt;=0,"現状のまま","メニュー変更")</f>
        <v>現状のまま</v>
      </c>
      <c r="L250" s="2"/>
      <c r="M250" s="47" t="s">
        <v>153</v>
      </c>
      <c r="N250" s="62">
        <f>N225+1</f>
        <v>9</v>
      </c>
      <c r="X250" s="2"/>
      <c r="Y250" s="47" t="s">
        <v>153</v>
      </c>
      <c r="Z250" s="62" t="e">
        <f>Z225+1</f>
        <v>#REF!</v>
      </c>
    </row>
    <row r="251" spans="1:35" x14ac:dyDescent="0.15">
      <c r="A251" s="214"/>
      <c r="B251" s="213"/>
      <c r="C251" s="213"/>
      <c r="D251" s="213"/>
      <c r="E251" s="213"/>
      <c r="F251" s="213"/>
      <c r="G251" s="213"/>
      <c r="H251" s="213"/>
      <c r="I251" s="213"/>
      <c r="J251" s="213"/>
      <c r="K251" s="692"/>
      <c r="L251" s="2"/>
      <c r="X251" s="2"/>
    </row>
    <row r="252" spans="1:35" x14ac:dyDescent="0.15">
      <c r="A252" s="214"/>
      <c r="B252" s="213"/>
      <c r="C252" s="213"/>
      <c r="D252" s="213"/>
      <c r="E252" s="213"/>
      <c r="F252" s="213"/>
      <c r="G252" s="213"/>
      <c r="H252" s="213"/>
      <c r="I252" s="213"/>
      <c r="J252" s="213"/>
      <c r="K252" s="692"/>
      <c r="L252" s="2"/>
      <c r="X252" s="2"/>
    </row>
    <row r="253" spans="1:35" ht="17.25" x14ac:dyDescent="0.15">
      <c r="A253" s="694" t="str">
        <f>$A$5</f>
        <v>平成29年度小郡市役所庁舎外25施設電力需給</v>
      </c>
      <c r="B253" s="694"/>
      <c r="C253" s="694"/>
      <c r="D253" s="694"/>
      <c r="E253" s="694"/>
      <c r="F253" s="694"/>
      <c r="G253" s="694"/>
      <c r="H253" s="694"/>
      <c r="I253" s="694"/>
      <c r="J253" s="694"/>
      <c r="K253" s="694"/>
      <c r="L253" s="2"/>
      <c r="M253" s="553" t="str">
        <f>$A$5</f>
        <v>平成29年度小郡市役所庁舎外25施設電力需給</v>
      </c>
      <c r="N253" s="553"/>
      <c r="O253" s="553"/>
      <c r="P253" s="553"/>
      <c r="Q253" s="553"/>
      <c r="R253" s="553"/>
      <c r="S253" s="553"/>
      <c r="T253" s="553"/>
      <c r="U253" s="553"/>
      <c r="V253" s="553"/>
      <c r="W253" s="553"/>
      <c r="X253" s="2"/>
      <c r="Y253" s="553" t="str">
        <f>$A$5</f>
        <v>平成29年度小郡市役所庁舎外25施設電力需給</v>
      </c>
      <c r="Z253" s="553"/>
      <c r="AA253" s="553"/>
      <c r="AB253" s="553"/>
      <c r="AC253" s="553"/>
      <c r="AD253" s="553"/>
      <c r="AE253" s="553"/>
      <c r="AF253" s="553"/>
      <c r="AG253" s="553"/>
      <c r="AH253" s="553"/>
      <c r="AI253" s="553"/>
    </row>
    <row r="254" spans="1:35" x14ac:dyDescent="0.15">
      <c r="A254" s="689" t="str">
        <f>$A$6</f>
        <v>（平成３０年１月～平成３０年１２月期間中の予定金額）</v>
      </c>
      <c r="B254" s="689"/>
      <c r="C254" s="689"/>
      <c r="D254" s="689"/>
      <c r="E254" s="689"/>
      <c r="F254" s="689"/>
      <c r="G254" s="689"/>
      <c r="H254" s="689"/>
      <c r="I254" s="689"/>
      <c r="J254" s="689"/>
      <c r="K254" s="689"/>
      <c r="L254" s="2"/>
      <c r="M254" s="555" t="str">
        <f>$A$6</f>
        <v>（平成３０年１月～平成３０年１２月期間中の予定金額）</v>
      </c>
      <c r="N254" s="555"/>
      <c r="O254" s="555"/>
      <c r="P254" s="555"/>
      <c r="Q254" s="555"/>
      <c r="R254" s="555"/>
      <c r="S254" s="555"/>
      <c r="T254" s="555"/>
      <c r="U254" s="555"/>
      <c r="V254" s="555"/>
      <c r="W254" s="555"/>
      <c r="X254" s="2"/>
      <c r="Y254" s="555" t="str">
        <f>$A$6</f>
        <v>（平成３０年１月～平成３０年１２月期間中の予定金額）</v>
      </c>
      <c r="Z254" s="555"/>
      <c r="AA254" s="555"/>
      <c r="AB254" s="555"/>
      <c r="AC254" s="555"/>
      <c r="AD254" s="555"/>
      <c r="AE254" s="555"/>
      <c r="AF254" s="555"/>
      <c r="AG254" s="555"/>
      <c r="AH254" s="555"/>
      <c r="AI254" s="555"/>
    </row>
    <row r="255" spans="1:35" ht="14.25" thickBot="1" x14ac:dyDescent="0.2">
      <c r="A255" s="215" t="s">
        <v>118</v>
      </c>
      <c r="B255" s="215"/>
      <c r="C255" s="213"/>
      <c r="D255" s="213"/>
      <c r="E255" s="213"/>
      <c r="F255" s="213"/>
      <c r="G255" s="213"/>
      <c r="H255" s="213"/>
      <c r="I255" s="213"/>
      <c r="J255" s="213"/>
      <c r="K255" s="211" t="s">
        <v>84</v>
      </c>
      <c r="L255" s="2"/>
      <c r="M255" s="134" t="s">
        <v>118</v>
      </c>
      <c r="N255" s="134"/>
      <c r="W255" s="47" t="s">
        <v>70</v>
      </c>
      <c r="X255" s="2"/>
      <c r="Y255" s="134" t="s">
        <v>118</v>
      </c>
      <c r="Z255" s="134"/>
      <c r="AI255" s="47" t="s">
        <v>70</v>
      </c>
    </row>
    <row r="256" spans="1:35" ht="18" customHeight="1" thickBot="1" x14ac:dyDescent="0.2">
      <c r="A256" s="695" t="s">
        <v>33</v>
      </c>
      <c r="B256" s="683" t="s">
        <v>24</v>
      </c>
      <c r="C256" s="684"/>
      <c r="D256" s="684"/>
      <c r="E256" s="685"/>
      <c r="F256" s="686" t="s">
        <v>34</v>
      </c>
      <c r="G256" s="687"/>
      <c r="H256" s="687"/>
      <c r="I256" s="687"/>
      <c r="J256" s="688"/>
      <c r="K256" s="667" t="s">
        <v>35</v>
      </c>
      <c r="L256" s="2"/>
      <c r="M256" s="567" t="s">
        <v>33</v>
      </c>
      <c r="N256" s="570" t="s">
        <v>24</v>
      </c>
      <c r="O256" s="571"/>
      <c r="P256" s="571"/>
      <c r="Q256" s="572"/>
      <c r="R256" s="573" t="s">
        <v>34</v>
      </c>
      <c r="S256" s="574"/>
      <c r="T256" s="574"/>
      <c r="U256" s="574"/>
      <c r="V256" s="575"/>
      <c r="W256" s="544" t="s">
        <v>35</v>
      </c>
      <c r="X256" s="2"/>
      <c r="Y256" s="567" t="s">
        <v>33</v>
      </c>
      <c r="Z256" s="570" t="s">
        <v>24</v>
      </c>
      <c r="AA256" s="571"/>
      <c r="AB256" s="571"/>
      <c r="AC256" s="572"/>
      <c r="AD256" s="573" t="s">
        <v>34</v>
      </c>
      <c r="AE256" s="574"/>
      <c r="AF256" s="574"/>
      <c r="AG256" s="574"/>
      <c r="AH256" s="575"/>
      <c r="AI256" s="544" t="s">
        <v>35</v>
      </c>
    </row>
    <row r="257" spans="1:35" ht="13.5" customHeight="1" x14ac:dyDescent="0.15">
      <c r="A257" s="696"/>
      <c r="B257" s="669" t="s">
        <v>28</v>
      </c>
      <c r="C257" s="667" t="s">
        <v>29</v>
      </c>
      <c r="D257" s="669" t="s">
        <v>25</v>
      </c>
      <c r="E257" s="678" t="s">
        <v>31</v>
      </c>
      <c r="F257" s="679" t="s">
        <v>36</v>
      </c>
      <c r="G257" s="680"/>
      <c r="H257" s="216"/>
      <c r="I257" s="667" t="s">
        <v>37</v>
      </c>
      <c r="J257" s="669" t="s">
        <v>38</v>
      </c>
      <c r="K257" s="668"/>
      <c r="L257" s="2"/>
      <c r="M257" s="568"/>
      <c r="N257" s="546" t="s">
        <v>28</v>
      </c>
      <c r="O257" s="544" t="s">
        <v>29</v>
      </c>
      <c r="P257" s="546" t="s">
        <v>25</v>
      </c>
      <c r="Q257" s="582" t="s">
        <v>31</v>
      </c>
      <c r="R257" s="540" t="s">
        <v>36</v>
      </c>
      <c r="S257" s="541"/>
      <c r="T257" s="135"/>
      <c r="U257" s="544" t="s">
        <v>37</v>
      </c>
      <c r="V257" s="546" t="s">
        <v>38</v>
      </c>
      <c r="W257" s="545"/>
      <c r="X257" s="2"/>
      <c r="Y257" s="568"/>
      <c r="Z257" s="546" t="s">
        <v>28</v>
      </c>
      <c r="AA257" s="544" t="s">
        <v>29</v>
      </c>
      <c r="AB257" s="546" t="s">
        <v>25</v>
      </c>
      <c r="AC257" s="582" t="s">
        <v>31</v>
      </c>
      <c r="AD257" s="540" t="s">
        <v>36</v>
      </c>
      <c r="AE257" s="541"/>
      <c r="AF257" s="135"/>
      <c r="AG257" s="544" t="s">
        <v>37</v>
      </c>
      <c r="AH257" s="546" t="s">
        <v>38</v>
      </c>
      <c r="AI257" s="545"/>
    </row>
    <row r="258" spans="1:35" x14ac:dyDescent="0.15">
      <c r="A258" s="696"/>
      <c r="B258" s="669"/>
      <c r="C258" s="668"/>
      <c r="D258" s="669"/>
      <c r="E258" s="669"/>
      <c r="F258" s="681"/>
      <c r="G258" s="682"/>
      <c r="H258" s="217"/>
      <c r="I258" s="668"/>
      <c r="J258" s="669"/>
      <c r="K258" s="668"/>
      <c r="L258" s="2"/>
      <c r="M258" s="568"/>
      <c r="N258" s="546"/>
      <c r="O258" s="545"/>
      <c r="P258" s="546"/>
      <c r="Q258" s="546"/>
      <c r="R258" s="542"/>
      <c r="S258" s="543"/>
      <c r="T258" s="136"/>
      <c r="U258" s="545"/>
      <c r="V258" s="546"/>
      <c r="W258" s="545"/>
      <c r="X258" s="2"/>
      <c r="Y258" s="568"/>
      <c r="Z258" s="546"/>
      <c r="AA258" s="545"/>
      <c r="AB258" s="546"/>
      <c r="AC258" s="546"/>
      <c r="AD258" s="542"/>
      <c r="AE258" s="543"/>
      <c r="AF258" s="136"/>
      <c r="AG258" s="545"/>
      <c r="AH258" s="546"/>
      <c r="AI258" s="545"/>
    </row>
    <row r="259" spans="1:35" ht="23.25" customHeight="1" x14ac:dyDescent="0.15">
      <c r="A259" s="696"/>
      <c r="B259" s="218" t="s">
        <v>13</v>
      </c>
      <c r="C259" s="219" t="s">
        <v>30</v>
      </c>
      <c r="D259" s="218" t="s">
        <v>14</v>
      </c>
      <c r="E259" s="218" t="s">
        <v>40</v>
      </c>
      <c r="F259" s="665" t="s">
        <v>15</v>
      </c>
      <c r="G259" s="666"/>
      <c r="H259" s="220"/>
      <c r="I259" s="219" t="s">
        <v>30</v>
      </c>
      <c r="J259" s="218" t="s">
        <v>40</v>
      </c>
      <c r="K259" s="218" t="s">
        <v>40</v>
      </c>
      <c r="L259" s="2"/>
      <c r="M259" s="568"/>
      <c r="N259" s="137" t="s">
        <v>152</v>
      </c>
      <c r="O259" s="138" t="s">
        <v>30</v>
      </c>
      <c r="P259" s="137" t="s">
        <v>14</v>
      </c>
      <c r="Q259" s="137" t="s">
        <v>40</v>
      </c>
      <c r="R259" s="549" t="s">
        <v>15</v>
      </c>
      <c r="S259" s="550"/>
      <c r="T259" s="139"/>
      <c r="U259" s="138" t="s">
        <v>30</v>
      </c>
      <c r="V259" s="137" t="s">
        <v>40</v>
      </c>
      <c r="W259" s="137" t="s">
        <v>40</v>
      </c>
      <c r="X259" s="2"/>
      <c r="Y259" s="568"/>
      <c r="Z259" s="137" t="s">
        <v>152</v>
      </c>
      <c r="AA259" s="138" t="s">
        <v>30</v>
      </c>
      <c r="AB259" s="137" t="s">
        <v>14</v>
      </c>
      <c r="AC259" s="137" t="s">
        <v>40</v>
      </c>
      <c r="AD259" s="549" t="s">
        <v>15</v>
      </c>
      <c r="AE259" s="550"/>
      <c r="AF259" s="139"/>
      <c r="AG259" s="138" t="s">
        <v>30</v>
      </c>
      <c r="AH259" s="137" t="s">
        <v>40</v>
      </c>
      <c r="AI259" s="137" t="s">
        <v>40</v>
      </c>
    </row>
    <row r="260" spans="1:35" ht="15.75" customHeight="1" thickBot="1" x14ac:dyDescent="0.2">
      <c r="A260" s="697"/>
      <c r="B260" s="221" t="s">
        <v>16</v>
      </c>
      <c r="C260" s="221" t="s">
        <v>17</v>
      </c>
      <c r="D260" s="221" t="s">
        <v>18</v>
      </c>
      <c r="E260" s="221" t="s">
        <v>19</v>
      </c>
      <c r="F260" s="222"/>
      <c r="G260" s="223" t="s">
        <v>20</v>
      </c>
      <c r="H260" s="223"/>
      <c r="I260" s="221" t="s">
        <v>21</v>
      </c>
      <c r="J260" s="221" t="s">
        <v>22</v>
      </c>
      <c r="K260" s="223" t="s">
        <v>23</v>
      </c>
      <c r="L260" s="2"/>
      <c r="M260" s="569"/>
      <c r="N260" s="122" t="s">
        <v>16</v>
      </c>
      <c r="O260" s="122" t="s">
        <v>17</v>
      </c>
      <c r="P260" s="122" t="s">
        <v>18</v>
      </c>
      <c r="Q260" s="122" t="s">
        <v>19</v>
      </c>
      <c r="R260" s="140"/>
      <c r="S260" s="141" t="s">
        <v>20</v>
      </c>
      <c r="T260" s="141"/>
      <c r="U260" s="122" t="s">
        <v>21</v>
      </c>
      <c r="V260" s="122" t="s">
        <v>22</v>
      </c>
      <c r="W260" s="141" t="s">
        <v>23</v>
      </c>
      <c r="X260" s="2"/>
      <c r="Y260" s="569"/>
      <c r="Z260" s="122" t="s">
        <v>16</v>
      </c>
      <c r="AA260" s="122" t="s">
        <v>17</v>
      </c>
      <c r="AB260" s="122" t="s">
        <v>18</v>
      </c>
      <c r="AC260" s="122" t="s">
        <v>19</v>
      </c>
      <c r="AD260" s="140"/>
      <c r="AE260" s="141" t="s">
        <v>20</v>
      </c>
      <c r="AF260" s="141"/>
      <c r="AG260" s="122" t="s">
        <v>21</v>
      </c>
      <c r="AH260" s="122" t="s">
        <v>22</v>
      </c>
      <c r="AI260" s="141" t="s">
        <v>23</v>
      </c>
    </row>
    <row r="261" spans="1:35" ht="30" customHeight="1" x14ac:dyDescent="0.15">
      <c r="A261" s="224" t="s">
        <v>83</v>
      </c>
      <c r="B261" s="225">
        <v>145</v>
      </c>
      <c r="C261" s="226">
        <v>1296</v>
      </c>
      <c r="D261" s="225">
        <v>100</v>
      </c>
      <c r="E261" s="228">
        <f t="shared" ref="E261:E272" si="141">ROUNDDOWN(B261*C261*((185-D261)/100),2)</f>
        <v>159732</v>
      </c>
      <c r="F261" s="229" t="s">
        <v>85</v>
      </c>
      <c r="G261" s="230">
        <v>13006</v>
      </c>
      <c r="H261" s="230"/>
      <c r="I261" s="226">
        <v>16.87</v>
      </c>
      <c r="J261" s="228">
        <f t="shared" ref="J261:J272" si="142">ROUNDDOWN(G261*I261,2)</f>
        <v>219411.22</v>
      </c>
      <c r="K261" s="231">
        <f t="shared" ref="K261:K272" si="143">ROUNDDOWN(J261+E261,2)</f>
        <v>379143.22</v>
      </c>
      <c r="L261" s="2"/>
      <c r="M261" s="142" t="s">
        <v>83</v>
      </c>
      <c r="N261" s="143">
        <v>145</v>
      </c>
      <c r="O261" s="123">
        <v>2008.8</v>
      </c>
      <c r="P261" s="163">
        <v>100</v>
      </c>
      <c r="Q261" s="98">
        <f t="shared" ref="Q261:Q272" si="144">ROUNDDOWN(N261*O261*((185-P261)/100),2)</f>
        <v>247584.6</v>
      </c>
      <c r="R261" s="145" t="s">
        <v>85</v>
      </c>
      <c r="S261" s="146">
        <v>13006</v>
      </c>
      <c r="T261" s="146"/>
      <c r="U261" s="124">
        <v>11.87</v>
      </c>
      <c r="V261" s="98">
        <f t="shared" ref="V261:V272" si="145">ROUNDDOWN(S261*U261,2)</f>
        <v>154381.22</v>
      </c>
      <c r="W261" s="147">
        <f t="shared" ref="W261:W272" si="146">ROUNDDOWN(V261+Q261,2)</f>
        <v>401965.82</v>
      </c>
      <c r="X261" s="2"/>
      <c r="Y261" s="142" t="s">
        <v>83</v>
      </c>
      <c r="Z261" s="143">
        <v>145</v>
      </c>
      <c r="AA261" s="123">
        <v>2008.8</v>
      </c>
      <c r="AB261" s="163">
        <v>100</v>
      </c>
      <c r="AC261" s="98">
        <f t="shared" ref="AC261:AC272" si="147">ROUNDDOWN(Z261*AA261*((185-AB261)/100),2)</f>
        <v>247584.6</v>
      </c>
      <c r="AD261" s="145" t="s">
        <v>85</v>
      </c>
      <c r="AE261" s="146">
        <v>13006</v>
      </c>
      <c r="AF261" s="146"/>
      <c r="AG261" s="124">
        <v>11.87</v>
      </c>
      <c r="AH261" s="98">
        <f t="shared" ref="AH261:AH272" si="148">ROUNDDOWN(AE261*AG261,2)</f>
        <v>154381.22</v>
      </c>
      <c r="AI261" s="147">
        <f t="shared" ref="AI261:AI272" si="149">ROUNDDOWN(AH261+AC261,2)</f>
        <v>401965.82</v>
      </c>
    </row>
    <row r="262" spans="1:35" ht="30" customHeight="1" x14ac:dyDescent="0.15">
      <c r="A262" s="232" t="s">
        <v>72</v>
      </c>
      <c r="B262" s="233">
        <f t="shared" ref="B262:B272" si="150">B261</f>
        <v>145</v>
      </c>
      <c r="C262" s="234">
        <f t="shared" ref="C262:C272" si="151">C261</f>
        <v>1296</v>
      </c>
      <c r="D262" s="235">
        <f t="shared" ref="D262:D272" si="152">D261</f>
        <v>100</v>
      </c>
      <c r="E262" s="228">
        <f t="shared" si="141"/>
        <v>159732</v>
      </c>
      <c r="F262" s="229" t="s">
        <v>112</v>
      </c>
      <c r="G262" s="230">
        <v>13802</v>
      </c>
      <c r="H262" s="230"/>
      <c r="I262" s="234">
        <f>I261</f>
        <v>16.87</v>
      </c>
      <c r="J262" s="228">
        <f t="shared" si="142"/>
        <v>232839.74</v>
      </c>
      <c r="K262" s="231">
        <f t="shared" si="143"/>
        <v>392571.74</v>
      </c>
      <c r="L262" s="2"/>
      <c r="M262" s="148" t="s">
        <v>72</v>
      </c>
      <c r="N262" s="149">
        <f t="shared" ref="N262:N272" si="153">N261</f>
        <v>145</v>
      </c>
      <c r="O262" s="125">
        <f t="shared" ref="O262:O272" si="154">O261</f>
        <v>2008.8</v>
      </c>
      <c r="P262" s="106">
        <f t="shared" ref="P262:P272" si="155">P261</f>
        <v>100</v>
      </c>
      <c r="Q262" s="98">
        <f t="shared" si="144"/>
        <v>247584.6</v>
      </c>
      <c r="R262" s="145" t="s">
        <v>112</v>
      </c>
      <c r="S262" s="146">
        <v>13802</v>
      </c>
      <c r="T262" s="146"/>
      <c r="U262" s="125">
        <f>U261</f>
        <v>11.87</v>
      </c>
      <c r="V262" s="98">
        <f t="shared" si="145"/>
        <v>163829.74</v>
      </c>
      <c r="W262" s="147">
        <f t="shared" si="146"/>
        <v>411414.34</v>
      </c>
      <c r="X262" s="2"/>
      <c r="Y262" s="148" t="s">
        <v>72</v>
      </c>
      <c r="Z262" s="149">
        <f t="shared" ref="Z262:Z272" si="156">Z261</f>
        <v>145</v>
      </c>
      <c r="AA262" s="125">
        <f t="shared" ref="AA262:AA272" si="157">AA261</f>
        <v>2008.8</v>
      </c>
      <c r="AB262" s="106">
        <f t="shared" ref="AB262:AB272" si="158">AB261</f>
        <v>100</v>
      </c>
      <c r="AC262" s="98">
        <f t="shared" si="147"/>
        <v>247584.6</v>
      </c>
      <c r="AD262" s="145" t="s">
        <v>112</v>
      </c>
      <c r="AE262" s="146">
        <v>13802</v>
      </c>
      <c r="AF262" s="146"/>
      <c r="AG262" s="125">
        <f>AG261</f>
        <v>11.87</v>
      </c>
      <c r="AH262" s="98">
        <f t="shared" si="148"/>
        <v>163829.74</v>
      </c>
      <c r="AI262" s="147">
        <f t="shared" si="149"/>
        <v>411414.34</v>
      </c>
    </row>
    <row r="263" spans="1:35" ht="30" customHeight="1" x14ac:dyDescent="0.15">
      <c r="A263" s="232" t="s">
        <v>73</v>
      </c>
      <c r="B263" s="233">
        <f t="shared" si="150"/>
        <v>145</v>
      </c>
      <c r="C263" s="234">
        <f t="shared" si="151"/>
        <v>1296</v>
      </c>
      <c r="D263" s="235">
        <f t="shared" si="152"/>
        <v>100</v>
      </c>
      <c r="E263" s="228">
        <f t="shared" si="141"/>
        <v>159732</v>
      </c>
      <c r="F263" s="229" t="s">
        <v>9</v>
      </c>
      <c r="G263" s="230">
        <v>11005</v>
      </c>
      <c r="H263" s="230"/>
      <c r="I263" s="234">
        <f>I262</f>
        <v>16.87</v>
      </c>
      <c r="J263" s="228">
        <f t="shared" si="142"/>
        <v>185654.35</v>
      </c>
      <c r="K263" s="231">
        <f t="shared" si="143"/>
        <v>345386.35</v>
      </c>
      <c r="L263" s="2"/>
      <c r="M263" s="148" t="s">
        <v>73</v>
      </c>
      <c r="N263" s="149">
        <f t="shared" si="153"/>
        <v>145</v>
      </c>
      <c r="O263" s="125">
        <f t="shared" si="154"/>
        <v>2008.8</v>
      </c>
      <c r="P263" s="106">
        <f t="shared" si="155"/>
        <v>100</v>
      </c>
      <c r="Q263" s="98">
        <f t="shared" si="144"/>
        <v>247584.6</v>
      </c>
      <c r="R263" s="145" t="s">
        <v>9</v>
      </c>
      <c r="S263" s="146">
        <v>11005</v>
      </c>
      <c r="T263" s="146"/>
      <c r="U263" s="125">
        <f>U262</f>
        <v>11.87</v>
      </c>
      <c r="V263" s="98">
        <f t="shared" si="145"/>
        <v>130629.35</v>
      </c>
      <c r="W263" s="147">
        <f t="shared" si="146"/>
        <v>378213.95</v>
      </c>
      <c r="X263" s="2"/>
      <c r="Y263" s="148" t="s">
        <v>73</v>
      </c>
      <c r="Z263" s="149">
        <f t="shared" si="156"/>
        <v>145</v>
      </c>
      <c r="AA263" s="125">
        <f t="shared" si="157"/>
        <v>2008.8</v>
      </c>
      <c r="AB263" s="106">
        <f t="shared" si="158"/>
        <v>100</v>
      </c>
      <c r="AC263" s="98">
        <f t="shared" si="147"/>
        <v>247584.6</v>
      </c>
      <c r="AD263" s="145" t="s">
        <v>9</v>
      </c>
      <c r="AE263" s="146">
        <v>11005</v>
      </c>
      <c r="AF263" s="146"/>
      <c r="AG263" s="125">
        <f>AG262</f>
        <v>11.87</v>
      </c>
      <c r="AH263" s="98">
        <f t="shared" si="148"/>
        <v>130629.35</v>
      </c>
      <c r="AI263" s="147">
        <f t="shared" si="149"/>
        <v>378213.95</v>
      </c>
    </row>
    <row r="264" spans="1:35" ht="30" customHeight="1" x14ac:dyDescent="0.15">
      <c r="A264" s="232" t="s">
        <v>74</v>
      </c>
      <c r="B264" s="233">
        <f t="shared" si="150"/>
        <v>145</v>
      </c>
      <c r="C264" s="234">
        <f t="shared" si="151"/>
        <v>1296</v>
      </c>
      <c r="D264" s="235">
        <f t="shared" si="152"/>
        <v>100</v>
      </c>
      <c r="E264" s="228">
        <f t="shared" si="141"/>
        <v>159732</v>
      </c>
      <c r="F264" s="229" t="s">
        <v>9</v>
      </c>
      <c r="G264" s="230">
        <v>8058</v>
      </c>
      <c r="H264" s="230"/>
      <c r="I264" s="234">
        <f>I263</f>
        <v>16.87</v>
      </c>
      <c r="J264" s="228">
        <f t="shared" si="142"/>
        <v>135938.46</v>
      </c>
      <c r="K264" s="231">
        <f t="shared" si="143"/>
        <v>295670.46000000002</v>
      </c>
      <c r="L264" s="2"/>
      <c r="M264" s="148" t="s">
        <v>74</v>
      </c>
      <c r="N264" s="149">
        <f t="shared" si="153"/>
        <v>145</v>
      </c>
      <c r="O264" s="125">
        <f t="shared" si="154"/>
        <v>2008.8</v>
      </c>
      <c r="P264" s="106">
        <f t="shared" si="155"/>
        <v>100</v>
      </c>
      <c r="Q264" s="98">
        <f t="shared" si="144"/>
        <v>247584.6</v>
      </c>
      <c r="R264" s="145" t="s">
        <v>9</v>
      </c>
      <c r="S264" s="146">
        <v>8058</v>
      </c>
      <c r="T264" s="146"/>
      <c r="U264" s="125">
        <f>U263</f>
        <v>11.87</v>
      </c>
      <c r="V264" s="98">
        <f t="shared" si="145"/>
        <v>95648.46</v>
      </c>
      <c r="W264" s="147">
        <f t="shared" si="146"/>
        <v>343233.06</v>
      </c>
      <c r="X264" s="2"/>
      <c r="Y264" s="148" t="s">
        <v>74</v>
      </c>
      <c r="Z264" s="149">
        <f t="shared" si="156"/>
        <v>145</v>
      </c>
      <c r="AA264" s="125">
        <f t="shared" si="157"/>
        <v>2008.8</v>
      </c>
      <c r="AB264" s="106">
        <f t="shared" si="158"/>
        <v>100</v>
      </c>
      <c r="AC264" s="98">
        <f t="shared" si="147"/>
        <v>247584.6</v>
      </c>
      <c r="AD264" s="145" t="s">
        <v>9</v>
      </c>
      <c r="AE264" s="146">
        <v>8058</v>
      </c>
      <c r="AF264" s="146"/>
      <c r="AG264" s="125">
        <f>AG263</f>
        <v>11.87</v>
      </c>
      <c r="AH264" s="98">
        <f t="shared" si="148"/>
        <v>95648.46</v>
      </c>
      <c r="AI264" s="147">
        <f t="shared" si="149"/>
        <v>343233.06</v>
      </c>
    </row>
    <row r="265" spans="1:35" ht="30" customHeight="1" x14ac:dyDescent="0.15">
      <c r="A265" s="232" t="s">
        <v>75</v>
      </c>
      <c r="B265" s="233">
        <f t="shared" si="150"/>
        <v>145</v>
      </c>
      <c r="C265" s="234">
        <f t="shared" si="151"/>
        <v>1296</v>
      </c>
      <c r="D265" s="235">
        <f t="shared" si="152"/>
        <v>100</v>
      </c>
      <c r="E265" s="228">
        <f t="shared" si="141"/>
        <v>159732</v>
      </c>
      <c r="F265" s="229" t="s">
        <v>9</v>
      </c>
      <c r="G265" s="230">
        <v>10830</v>
      </c>
      <c r="H265" s="230"/>
      <c r="I265" s="234">
        <f>I264</f>
        <v>16.87</v>
      </c>
      <c r="J265" s="228">
        <f t="shared" si="142"/>
        <v>182702.1</v>
      </c>
      <c r="K265" s="231">
        <f t="shared" si="143"/>
        <v>342434.1</v>
      </c>
      <c r="L265" s="2"/>
      <c r="M265" s="148" t="s">
        <v>75</v>
      </c>
      <c r="N265" s="149">
        <f t="shared" si="153"/>
        <v>145</v>
      </c>
      <c r="O265" s="125">
        <f t="shared" si="154"/>
        <v>2008.8</v>
      </c>
      <c r="P265" s="106">
        <f t="shared" si="155"/>
        <v>100</v>
      </c>
      <c r="Q265" s="98">
        <f t="shared" si="144"/>
        <v>247584.6</v>
      </c>
      <c r="R265" s="145" t="s">
        <v>9</v>
      </c>
      <c r="S265" s="146">
        <v>10830</v>
      </c>
      <c r="T265" s="146"/>
      <c r="U265" s="125">
        <f>U264</f>
        <v>11.87</v>
      </c>
      <c r="V265" s="98">
        <f t="shared" si="145"/>
        <v>128552.1</v>
      </c>
      <c r="W265" s="147">
        <f t="shared" si="146"/>
        <v>376136.7</v>
      </c>
      <c r="X265" s="2"/>
      <c r="Y265" s="148" t="s">
        <v>75</v>
      </c>
      <c r="Z265" s="149">
        <f t="shared" si="156"/>
        <v>145</v>
      </c>
      <c r="AA265" s="125">
        <f t="shared" si="157"/>
        <v>2008.8</v>
      </c>
      <c r="AB265" s="106">
        <f t="shared" si="158"/>
        <v>100</v>
      </c>
      <c r="AC265" s="98">
        <f t="shared" si="147"/>
        <v>247584.6</v>
      </c>
      <c r="AD265" s="145" t="s">
        <v>9</v>
      </c>
      <c r="AE265" s="146">
        <v>10830</v>
      </c>
      <c r="AF265" s="146"/>
      <c r="AG265" s="125">
        <f>AG264</f>
        <v>11.87</v>
      </c>
      <c r="AH265" s="98">
        <f t="shared" si="148"/>
        <v>128552.1</v>
      </c>
      <c r="AI265" s="147">
        <f t="shared" si="149"/>
        <v>376136.7</v>
      </c>
    </row>
    <row r="266" spans="1:35" ht="30" customHeight="1" x14ac:dyDescent="0.15">
      <c r="A266" s="232" t="s">
        <v>76</v>
      </c>
      <c r="B266" s="233">
        <f t="shared" si="150"/>
        <v>145</v>
      </c>
      <c r="C266" s="234">
        <f t="shared" si="151"/>
        <v>1296</v>
      </c>
      <c r="D266" s="235">
        <f t="shared" si="152"/>
        <v>100</v>
      </c>
      <c r="E266" s="228">
        <f t="shared" si="141"/>
        <v>159732</v>
      </c>
      <c r="F266" s="229" t="s">
        <v>9</v>
      </c>
      <c r="G266" s="230">
        <v>16116</v>
      </c>
      <c r="H266" s="230"/>
      <c r="I266" s="234">
        <f>I265</f>
        <v>16.87</v>
      </c>
      <c r="J266" s="228">
        <f t="shared" si="142"/>
        <v>271876.92</v>
      </c>
      <c r="K266" s="231">
        <f t="shared" si="143"/>
        <v>431608.92</v>
      </c>
      <c r="L266" s="2"/>
      <c r="M266" s="148" t="s">
        <v>76</v>
      </c>
      <c r="N266" s="149">
        <f t="shared" si="153"/>
        <v>145</v>
      </c>
      <c r="O266" s="125">
        <f t="shared" si="154"/>
        <v>2008.8</v>
      </c>
      <c r="P266" s="106">
        <f t="shared" si="155"/>
        <v>100</v>
      </c>
      <c r="Q266" s="98">
        <f t="shared" si="144"/>
        <v>247584.6</v>
      </c>
      <c r="R266" s="145" t="s">
        <v>9</v>
      </c>
      <c r="S266" s="146">
        <v>16116</v>
      </c>
      <c r="T266" s="146"/>
      <c r="U266" s="125">
        <f>U265</f>
        <v>11.87</v>
      </c>
      <c r="V266" s="98">
        <f t="shared" si="145"/>
        <v>191296.92</v>
      </c>
      <c r="W266" s="147">
        <f t="shared" si="146"/>
        <v>438881.52</v>
      </c>
      <c r="X266" s="2"/>
      <c r="Y266" s="148" t="s">
        <v>76</v>
      </c>
      <c r="Z266" s="149">
        <f t="shared" si="156"/>
        <v>145</v>
      </c>
      <c r="AA266" s="125">
        <f t="shared" si="157"/>
        <v>2008.8</v>
      </c>
      <c r="AB266" s="106">
        <f t="shared" si="158"/>
        <v>100</v>
      </c>
      <c r="AC266" s="98">
        <f t="shared" si="147"/>
        <v>247584.6</v>
      </c>
      <c r="AD266" s="145" t="s">
        <v>9</v>
      </c>
      <c r="AE266" s="146">
        <v>16116</v>
      </c>
      <c r="AF266" s="146"/>
      <c r="AG266" s="125">
        <f>AG265</f>
        <v>11.87</v>
      </c>
      <c r="AH266" s="98">
        <f t="shared" si="148"/>
        <v>191296.92</v>
      </c>
      <c r="AI266" s="147">
        <f t="shared" si="149"/>
        <v>438881.52</v>
      </c>
    </row>
    <row r="267" spans="1:35" ht="30" customHeight="1" x14ac:dyDescent="0.15">
      <c r="A267" s="232" t="s">
        <v>77</v>
      </c>
      <c r="B267" s="233">
        <f t="shared" si="150"/>
        <v>145</v>
      </c>
      <c r="C267" s="234">
        <f t="shared" si="151"/>
        <v>1296</v>
      </c>
      <c r="D267" s="235">
        <f t="shared" si="152"/>
        <v>100</v>
      </c>
      <c r="E267" s="228">
        <f t="shared" si="141"/>
        <v>159732</v>
      </c>
      <c r="F267" s="229" t="s">
        <v>71</v>
      </c>
      <c r="G267" s="230">
        <v>14214</v>
      </c>
      <c r="H267" s="230"/>
      <c r="I267" s="226">
        <v>18.29</v>
      </c>
      <c r="J267" s="228">
        <f t="shared" si="142"/>
        <v>259974.06</v>
      </c>
      <c r="K267" s="231">
        <f t="shared" si="143"/>
        <v>419706.06</v>
      </c>
      <c r="L267" s="2"/>
      <c r="M267" s="148" t="s">
        <v>77</v>
      </c>
      <c r="N267" s="149">
        <f t="shared" si="153"/>
        <v>145</v>
      </c>
      <c r="O267" s="125">
        <f t="shared" si="154"/>
        <v>2008.8</v>
      </c>
      <c r="P267" s="106">
        <f t="shared" si="155"/>
        <v>100</v>
      </c>
      <c r="Q267" s="98">
        <f t="shared" si="144"/>
        <v>247584.6</v>
      </c>
      <c r="R267" s="145" t="s">
        <v>71</v>
      </c>
      <c r="S267" s="146">
        <v>14214</v>
      </c>
      <c r="T267" s="146"/>
      <c r="U267" s="124">
        <v>12.78</v>
      </c>
      <c r="V267" s="98">
        <f t="shared" si="145"/>
        <v>181654.92</v>
      </c>
      <c r="W267" s="147">
        <f t="shared" si="146"/>
        <v>429239.52</v>
      </c>
      <c r="X267" s="2"/>
      <c r="Y267" s="148" t="s">
        <v>77</v>
      </c>
      <c r="Z267" s="149">
        <f t="shared" si="156"/>
        <v>145</v>
      </c>
      <c r="AA267" s="125">
        <f t="shared" si="157"/>
        <v>2008.8</v>
      </c>
      <c r="AB267" s="106">
        <f t="shared" si="158"/>
        <v>100</v>
      </c>
      <c r="AC267" s="98">
        <f t="shared" si="147"/>
        <v>247584.6</v>
      </c>
      <c r="AD267" s="145" t="s">
        <v>71</v>
      </c>
      <c r="AE267" s="146">
        <v>14214</v>
      </c>
      <c r="AF267" s="146"/>
      <c r="AG267" s="124">
        <v>12.78</v>
      </c>
      <c r="AH267" s="98">
        <f t="shared" si="148"/>
        <v>181654.92</v>
      </c>
      <c r="AI267" s="147">
        <f t="shared" si="149"/>
        <v>429239.52</v>
      </c>
    </row>
    <row r="268" spans="1:35" ht="30" customHeight="1" x14ac:dyDescent="0.15">
      <c r="A268" s="232" t="s">
        <v>78</v>
      </c>
      <c r="B268" s="233">
        <f t="shared" si="150"/>
        <v>145</v>
      </c>
      <c r="C268" s="234">
        <f t="shared" si="151"/>
        <v>1296</v>
      </c>
      <c r="D268" s="235">
        <f t="shared" si="152"/>
        <v>100</v>
      </c>
      <c r="E268" s="228">
        <f t="shared" si="141"/>
        <v>159732</v>
      </c>
      <c r="F268" s="229" t="s">
        <v>71</v>
      </c>
      <c r="G268" s="230">
        <v>7212</v>
      </c>
      <c r="H268" s="230"/>
      <c r="I268" s="234">
        <f>I267</f>
        <v>18.29</v>
      </c>
      <c r="J268" s="228">
        <f t="shared" si="142"/>
        <v>131907.48000000001</v>
      </c>
      <c r="K268" s="231">
        <f t="shared" si="143"/>
        <v>291639.48</v>
      </c>
      <c r="L268" s="2"/>
      <c r="M268" s="148" t="s">
        <v>78</v>
      </c>
      <c r="N268" s="149">
        <f t="shared" si="153"/>
        <v>145</v>
      </c>
      <c r="O268" s="125">
        <f t="shared" si="154"/>
        <v>2008.8</v>
      </c>
      <c r="P268" s="106">
        <f t="shared" si="155"/>
        <v>100</v>
      </c>
      <c r="Q268" s="98">
        <f t="shared" si="144"/>
        <v>247584.6</v>
      </c>
      <c r="R268" s="145" t="s">
        <v>71</v>
      </c>
      <c r="S268" s="146">
        <v>7212</v>
      </c>
      <c r="T268" s="146"/>
      <c r="U268" s="125">
        <f>U267</f>
        <v>12.78</v>
      </c>
      <c r="V268" s="98">
        <f t="shared" si="145"/>
        <v>92169.36</v>
      </c>
      <c r="W268" s="147">
        <f t="shared" si="146"/>
        <v>339753.96</v>
      </c>
      <c r="X268" s="2"/>
      <c r="Y268" s="148" t="s">
        <v>78</v>
      </c>
      <c r="Z268" s="149">
        <f t="shared" si="156"/>
        <v>145</v>
      </c>
      <c r="AA268" s="125">
        <f t="shared" si="157"/>
        <v>2008.8</v>
      </c>
      <c r="AB268" s="106">
        <f t="shared" si="158"/>
        <v>100</v>
      </c>
      <c r="AC268" s="98">
        <f t="shared" si="147"/>
        <v>247584.6</v>
      </c>
      <c r="AD268" s="145" t="s">
        <v>71</v>
      </c>
      <c r="AE268" s="146">
        <v>7212</v>
      </c>
      <c r="AF268" s="146"/>
      <c r="AG268" s="125">
        <f>AG267</f>
        <v>12.78</v>
      </c>
      <c r="AH268" s="98">
        <f t="shared" si="148"/>
        <v>92169.36</v>
      </c>
      <c r="AI268" s="147">
        <f t="shared" si="149"/>
        <v>339753.96</v>
      </c>
    </row>
    <row r="269" spans="1:35" ht="30" customHeight="1" x14ac:dyDescent="0.15">
      <c r="A269" s="232" t="s">
        <v>79</v>
      </c>
      <c r="B269" s="233">
        <f t="shared" si="150"/>
        <v>145</v>
      </c>
      <c r="C269" s="234">
        <f t="shared" si="151"/>
        <v>1296</v>
      </c>
      <c r="D269" s="235">
        <f t="shared" si="152"/>
        <v>100</v>
      </c>
      <c r="E269" s="228">
        <f t="shared" si="141"/>
        <v>159732</v>
      </c>
      <c r="F269" s="229" t="s">
        <v>71</v>
      </c>
      <c r="G269" s="230">
        <f>9758+2440</f>
        <v>12198</v>
      </c>
      <c r="H269" s="230"/>
      <c r="I269" s="234">
        <f>I268</f>
        <v>18.29</v>
      </c>
      <c r="J269" s="228">
        <f t="shared" si="142"/>
        <v>223101.42</v>
      </c>
      <c r="K269" s="231">
        <f t="shared" si="143"/>
        <v>382833.42</v>
      </c>
      <c r="L269" s="2"/>
      <c r="M269" s="148" t="s">
        <v>79</v>
      </c>
      <c r="N269" s="149">
        <f t="shared" si="153"/>
        <v>145</v>
      </c>
      <c r="O269" s="125">
        <f t="shared" si="154"/>
        <v>2008.8</v>
      </c>
      <c r="P269" s="106">
        <f t="shared" si="155"/>
        <v>100</v>
      </c>
      <c r="Q269" s="98">
        <f t="shared" si="144"/>
        <v>247584.6</v>
      </c>
      <c r="R269" s="145" t="s">
        <v>71</v>
      </c>
      <c r="S269" s="146">
        <f>9758+2440</f>
        <v>12198</v>
      </c>
      <c r="T269" s="146"/>
      <c r="U269" s="125">
        <f>U268</f>
        <v>12.78</v>
      </c>
      <c r="V269" s="98">
        <f t="shared" si="145"/>
        <v>155890.44</v>
      </c>
      <c r="W269" s="147">
        <f t="shared" si="146"/>
        <v>403475.04</v>
      </c>
      <c r="X269" s="2"/>
      <c r="Y269" s="148" t="s">
        <v>79</v>
      </c>
      <c r="Z269" s="149">
        <f t="shared" si="156"/>
        <v>145</v>
      </c>
      <c r="AA269" s="125">
        <f t="shared" si="157"/>
        <v>2008.8</v>
      </c>
      <c r="AB269" s="106">
        <f t="shared" si="158"/>
        <v>100</v>
      </c>
      <c r="AC269" s="98">
        <f t="shared" si="147"/>
        <v>247584.6</v>
      </c>
      <c r="AD269" s="145" t="s">
        <v>71</v>
      </c>
      <c r="AE269" s="146">
        <f>9758+2440</f>
        <v>12198</v>
      </c>
      <c r="AF269" s="146"/>
      <c r="AG269" s="125">
        <f>AG268</f>
        <v>12.78</v>
      </c>
      <c r="AH269" s="98">
        <f t="shared" si="148"/>
        <v>155890.44</v>
      </c>
      <c r="AI269" s="147">
        <f t="shared" si="149"/>
        <v>403475.04</v>
      </c>
    </row>
    <row r="270" spans="1:35" ht="30" customHeight="1" x14ac:dyDescent="0.15">
      <c r="A270" s="232" t="s">
        <v>80</v>
      </c>
      <c r="B270" s="233">
        <f t="shared" si="150"/>
        <v>145</v>
      </c>
      <c r="C270" s="234">
        <f t="shared" si="151"/>
        <v>1296</v>
      </c>
      <c r="D270" s="235">
        <f t="shared" si="152"/>
        <v>100</v>
      </c>
      <c r="E270" s="228">
        <f t="shared" si="141"/>
        <v>159732</v>
      </c>
      <c r="F270" s="229" t="s">
        <v>9</v>
      </c>
      <c r="G270" s="230">
        <v>9750</v>
      </c>
      <c r="H270" s="230"/>
      <c r="I270" s="234">
        <f>I261</f>
        <v>16.87</v>
      </c>
      <c r="J270" s="228">
        <f t="shared" si="142"/>
        <v>164482.5</v>
      </c>
      <c r="K270" s="231">
        <f t="shared" si="143"/>
        <v>324214.5</v>
      </c>
      <c r="L270" s="2"/>
      <c r="M270" s="148" t="s">
        <v>80</v>
      </c>
      <c r="N270" s="149">
        <f t="shared" si="153"/>
        <v>145</v>
      </c>
      <c r="O270" s="125">
        <f t="shared" si="154"/>
        <v>2008.8</v>
      </c>
      <c r="P270" s="106">
        <f t="shared" si="155"/>
        <v>100</v>
      </c>
      <c r="Q270" s="98">
        <f t="shared" si="144"/>
        <v>247584.6</v>
      </c>
      <c r="R270" s="145" t="s">
        <v>9</v>
      </c>
      <c r="S270" s="146">
        <v>9750</v>
      </c>
      <c r="T270" s="146"/>
      <c r="U270" s="125">
        <f>U261</f>
        <v>11.87</v>
      </c>
      <c r="V270" s="98">
        <f t="shared" si="145"/>
        <v>115732.5</v>
      </c>
      <c r="W270" s="147">
        <f t="shared" si="146"/>
        <v>363317.1</v>
      </c>
      <c r="X270" s="2"/>
      <c r="Y270" s="148" t="s">
        <v>80</v>
      </c>
      <c r="Z270" s="149">
        <f t="shared" si="156"/>
        <v>145</v>
      </c>
      <c r="AA270" s="125">
        <f t="shared" si="157"/>
        <v>2008.8</v>
      </c>
      <c r="AB270" s="106">
        <f t="shared" si="158"/>
        <v>100</v>
      </c>
      <c r="AC270" s="98">
        <f t="shared" si="147"/>
        <v>247584.6</v>
      </c>
      <c r="AD270" s="145" t="s">
        <v>9</v>
      </c>
      <c r="AE270" s="146">
        <v>9750</v>
      </c>
      <c r="AF270" s="146"/>
      <c r="AG270" s="125">
        <f>AG261</f>
        <v>11.87</v>
      </c>
      <c r="AH270" s="98">
        <f t="shared" si="148"/>
        <v>115732.5</v>
      </c>
      <c r="AI270" s="147">
        <f t="shared" si="149"/>
        <v>363317.1</v>
      </c>
    </row>
    <row r="271" spans="1:35" ht="30" customHeight="1" x14ac:dyDescent="0.15">
      <c r="A271" s="232" t="s">
        <v>81</v>
      </c>
      <c r="B271" s="233">
        <f t="shared" si="150"/>
        <v>145</v>
      </c>
      <c r="C271" s="234">
        <f t="shared" si="151"/>
        <v>1296</v>
      </c>
      <c r="D271" s="235">
        <f t="shared" si="152"/>
        <v>100</v>
      </c>
      <c r="E271" s="228">
        <f t="shared" si="141"/>
        <v>159732</v>
      </c>
      <c r="F271" s="229" t="s">
        <v>9</v>
      </c>
      <c r="G271" s="230">
        <v>10272</v>
      </c>
      <c r="H271" s="230"/>
      <c r="I271" s="236">
        <f>I270</f>
        <v>16.87</v>
      </c>
      <c r="J271" s="228">
        <f t="shared" si="142"/>
        <v>173288.64</v>
      </c>
      <c r="K271" s="231">
        <f t="shared" si="143"/>
        <v>333020.64</v>
      </c>
      <c r="L271" s="2"/>
      <c r="M271" s="148" t="s">
        <v>81</v>
      </c>
      <c r="N271" s="149">
        <f t="shared" si="153"/>
        <v>145</v>
      </c>
      <c r="O271" s="125">
        <f t="shared" si="154"/>
        <v>2008.8</v>
      </c>
      <c r="P271" s="106">
        <f t="shared" si="155"/>
        <v>100</v>
      </c>
      <c r="Q271" s="98">
        <f t="shared" si="144"/>
        <v>247584.6</v>
      </c>
      <c r="R271" s="145" t="s">
        <v>9</v>
      </c>
      <c r="S271" s="146">
        <v>10272</v>
      </c>
      <c r="T271" s="146"/>
      <c r="U271" s="127">
        <f>U270</f>
        <v>11.87</v>
      </c>
      <c r="V271" s="98">
        <f t="shared" si="145"/>
        <v>121928.64</v>
      </c>
      <c r="W271" s="147">
        <f t="shared" si="146"/>
        <v>369513.24</v>
      </c>
      <c r="X271" s="2"/>
      <c r="Y271" s="148" t="s">
        <v>81</v>
      </c>
      <c r="Z271" s="149">
        <f t="shared" si="156"/>
        <v>145</v>
      </c>
      <c r="AA271" s="125">
        <f t="shared" si="157"/>
        <v>2008.8</v>
      </c>
      <c r="AB271" s="106">
        <f t="shared" si="158"/>
        <v>100</v>
      </c>
      <c r="AC271" s="98">
        <f t="shared" si="147"/>
        <v>247584.6</v>
      </c>
      <c r="AD271" s="145" t="s">
        <v>9</v>
      </c>
      <c r="AE271" s="146">
        <v>10272</v>
      </c>
      <c r="AF271" s="146"/>
      <c r="AG271" s="127">
        <f>AG270</f>
        <v>11.87</v>
      </c>
      <c r="AH271" s="98">
        <f t="shared" si="148"/>
        <v>121928.64</v>
      </c>
      <c r="AI271" s="147">
        <f t="shared" si="149"/>
        <v>369513.24</v>
      </c>
    </row>
    <row r="272" spans="1:35" ht="30" customHeight="1" thickBot="1" x14ac:dyDescent="0.2">
      <c r="A272" s="237" t="s">
        <v>82</v>
      </c>
      <c r="B272" s="238">
        <f t="shared" si="150"/>
        <v>145</v>
      </c>
      <c r="C272" s="239">
        <f t="shared" si="151"/>
        <v>1296</v>
      </c>
      <c r="D272" s="238">
        <f t="shared" si="152"/>
        <v>100</v>
      </c>
      <c r="E272" s="240">
        <f t="shared" si="141"/>
        <v>159732</v>
      </c>
      <c r="F272" s="241" t="s">
        <v>9</v>
      </c>
      <c r="G272" s="242">
        <v>8004</v>
      </c>
      <c r="H272" s="242"/>
      <c r="I272" s="239">
        <f>I271</f>
        <v>16.87</v>
      </c>
      <c r="J272" s="240">
        <f t="shared" si="142"/>
        <v>135027.48000000001</v>
      </c>
      <c r="K272" s="243">
        <f t="shared" si="143"/>
        <v>294759.48</v>
      </c>
      <c r="L272" s="89"/>
      <c r="M272" s="150" t="s">
        <v>82</v>
      </c>
      <c r="N272" s="151">
        <f t="shared" si="153"/>
        <v>145</v>
      </c>
      <c r="O272" s="126">
        <f t="shared" si="154"/>
        <v>2008.8</v>
      </c>
      <c r="P272" s="152">
        <f t="shared" si="155"/>
        <v>100</v>
      </c>
      <c r="Q272" s="99">
        <f t="shared" si="144"/>
        <v>247584.6</v>
      </c>
      <c r="R272" s="153" t="s">
        <v>9</v>
      </c>
      <c r="S272" s="154">
        <v>8004</v>
      </c>
      <c r="T272" s="154"/>
      <c r="U272" s="126">
        <f>U271</f>
        <v>11.87</v>
      </c>
      <c r="V272" s="99">
        <f t="shared" si="145"/>
        <v>95007.48</v>
      </c>
      <c r="W272" s="155">
        <f t="shared" si="146"/>
        <v>342592.08</v>
      </c>
      <c r="X272" s="89"/>
      <c r="Y272" s="150" t="s">
        <v>82</v>
      </c>
      <c r="Z272" s="151">
        <f t="shared" si="156"/>
        <v>145</v>
      </c>
      <c r="AA272" s="126">
        <f t="shared" si="157"/>
        <v>2008.8</v>
      </c>
      <c r="AB272" s="152">
        <f t="shared" si="158"/>
        <v>100</v>
      </c>
      <c r="AC272" s="99">
        <f t="shared" si="147"/>
        <v>247584.6</v>
      </c>
      <c r="AD272" s="153" t="s">
        <v>9</v>
      </c>
      <c r="AE272" s="154">
        <v>8004</v>
      </c>
      <c r="AF272" s="154"/>
      <c r="AG272" s="126">
        <f>AG271</f>
        <v>11.87</v>
      </c>
      <c r="AH272" s="99">
        <f t="shared" si="148"/>
        <v>95007.48</v>
      </c>
      <c r="AI272" s="155">
        <f t="shared" si="149"/>
        <v>342592.08</v>
      </c>
    </row>
    <row r="273" spans="1:35" ht="30" customHeight="1" thickBot="1" x14ac:dyDescent="0.2">
      <c r="A273" s="251" t="s">
        <v>41</v>
      </c>
      <c r="B273" s="245"/>
      <c r="C273" s="245"/>
      <c r="D273" s="245"/>
      <c r="E273" s="246">
        <f>SUM(E261:E272)</f>
        <v>1916784</v>
      </c>
      <c r="F273" s="247"/>
      <c r="G273" s="248">
        <f>SUM(G261:G272)</f>
        <v>134467</v>
      </c>
      <c r="H273" s="248"/>
      <c r="I273" s="245"/>
      <c r="J273" s="246">
        <f>SUM(J261:J272)</f>
        <v>2316204.3699999996</v>
      </c>
      <c r="K273" s="249">
        <f>SUM(K261:K272)</f>
        <v>4232988.37</v>
      </c>
      <c r="L273" s="89" t="s">
        <v>113</v>
      </c>
      <c r="M273" s="164" t="s">
        <v>41</v>
      </c>
      <c r="N273" s="157"/>
      <c r="O273" s="157"/>
      <c r="P273" s="157"/>
      <c r="Q273" s="158">
        <f>SUM(Q261:Q272)</f>
        <v>2971015.2000000007</v>
      </c>
      <c r="R273" s="159"/>
      <c r="S273" s="160">
        <f>SUM(S261:S272)</f>
        <v>134467</v>
      </c>
      <c r="T273" s="160"/>
      <c r="U273" s="157"/>
      <c r="V273" s="158">
        <f>SUM(V261:V272)</f>
        <v>1626721.13</v>
      </c>
      <c r="W273" s="161">
        <f>SUM(W261:W272)</f>
        <v>4597736.33</v>
      </c>
      <c r="X273" s="89" t="s">
        <v>113</v>
      </c>
      <c r="Y273" s="164" t="s">
        <v>41</v>
      </c>
      <c r="Z273" s="157"/>
      <c r="AA273" s="157"/>
      <c r="AB273" s="157"/>
      <c r="AC273" s="158">
        <f>SUM(AC261:AC272)</f>
        <v>2971015.2000000007</v>
      </c>
      <c r="AD273" s="159"/>
      <c r="AE273" s="160">
        <f>SUM(AE261:AE272)</f>
        <v>134467</v>
      </c>
      <c r="AF273" s="160"/>
      <c r="AG273" s="157"/>
      <c r="AH273" s="158">
        <f>SUM(AH261:AH272)</f>
        <v>1626721.13</v>
      </c>
      <c r="AI273" s="161">
        <f>SUM(AI261:AI272)</f>
        <v>4597736.33</v>
      </c>
    </row>
    <row r="274" spans="1:35" ht="15" customHeight="1" x14ac:dyDescent="0.15">
      <c r="A274" s="214"/>
      <c r="B274" s="250"/>
      <c r="C274" s="250"/>
      <c r="D274" s="250"/>
      <c r="E274" s="250"/>
      <c r="F274" s="250"/>
      <c r="G274" s="250"/>
      <c r="H274" s="250"/>
      <c r="I274" s="250"/>
      <c r="J274" s="250"/>
      <c r="K274" s="250"/>
      <c r="L274" s="2"/>
      <c r="N274" s="162"/>
      <c r="O274" s="162"/>
      <c r="P274" s="162"/>
      <c r="Q274" s="162"/>
      <c r="R274" s="162"/>
      <c r="S274" s="162"/>
      <c r="T274" s="162"/>
      <c r="U274" s="162"/>
      <c r="V274" s="162"/>
      <c r="W274" s="162"/>
      <c r="X274" s="2"/>
      <c r="Z274" s="162"/>
      <c r="AA274" s="162"/>
      <c r="AB274" s="162"/>
      <c r="AC274" s="162"/>
      <c r="AD274" s="162"/>
      <c r="AE274" s="162"/>
      <c r="AF274" s="162"/>
      <c r="AG274" s="162"/>
      <c r="AH274" s="162"/>
      <c r="AI274" s="162"/>
    </row>
    <row r="275" spans="1:35" x14ac:dyDescent="0.15">
      <c r="A275" s="5" t="s">
        <v>153</v>
      </c>
      <c r="B275" s="31">
        <f>B250+1</f>
        <v>10</v>
      </c>
      <c r="K275" s="551" t="str">
        <f>IF(K298-W298&lt;=0,"現状のまま","メニュー変更")</f>
        <v>メニュー変更</v>
      </c>
      <c r="L275" s="2"/>
      <c r="M275" s="255" t="s">
        <v>153</v>
      </c>
      <c r="N275" s="256">
        <f>N250+1</f>
        <v>10</v>
      </c>
      <c r="O275" s="257"/>
      <c r="P275" s="257"/>
      <c r="Q275" s="257"/>
      <c r="R275" s="257"/>
      <c r="S275" s="257"/>
      <c r="T275" s="257"/>
      <c r="U275" s="257"/>
      <c r="V275" s="257"/>
      <c r="W275" s="257"/>
      <c r="X275" s="2"/>
      <c r="Y275" s="47" t="s">
        <v>153</v>
      </c>
      <c r="Z275" s="62" t="e">
        <f>#REF!+1</f>
        <v>#REF!</v>
      </c>
    </row>
    <row r="276" spans="1:35" x14ac:dyDescent="0.15">
      <c r="K276" s="551"/>
      <c r="L276" s="2"/>
      <c r="M276" s="258"/>
      <c r="N276" s="257"/>
      <c r="O276" s="257"/>
      <c r="P276" s="257"/>
      <c r="Q276" s="257"/>
      <c r="R276" s="257"/>
      <c r="S276" s="257"/>
      <c r="T276" s="257"/>
      <c r="U276" s="257"/>
      <c r="V276" s="257"/>
      <c r="W276" s="257"/>
      <c r="X276" s="2"/>
    </row>
    <row r="277" spans="1:35" x14ac:dyDescent="0.15">
      <c r="K277" s="551"/>
      <c r="L277" s="2"/>
      <c r="M277" s="258"/>
      <c r="N277" s="257"/>
      <c r="O277" s="257"/>
      <c r="P277" s="257"/>
      <c r="Q277" s="257"/>
      <c r="R277" s="257"/>
      <c r="S277" s="257"/>
      <c r="T277" s="257"/>
      <c r="U277" s="257"/>
      <c r="V277" s="257"/>
      <c r="W277" s="257"/>
      <c r="X277" s="2"/>
    </row>
    <row r="278" spans="1:35" ht="17.25" x14ac:dyDescent="0.15">
      <c r="A278" s="552" t="str">
        <f>$A$5</f>
        <v>平成29年度小郡市役所庁舎外25施設電力需給</v>
      </c>
      <c r="B278" s="552"/>
      <c r="C278" s="552"/>
      <c r="D278" s="552"/>
      <c r="E278" s="552"/>
      <c r="F278" s="552"/>
      <c r="G278" s="552"/>
      <c r="H278" s="552"/>
      <c r="I278" s="552"/>
      <c r="J278" s="552"/>
      <c r="K278" s="552"/>
      <c r="L278" s="2"/>
      <c r="M278" s="721" t="str">
        <f>$A$5</f>
        <v>平成29年度小郡市役所庁舎外25施設電力需給</v>
      </c>
      <c r="N278" s="721"/>
      <c r="O278" s="721"/>
      <c r="P278" s="721"/>
      <c r="Q278" s="721"/>
      <c r="R278" s="721"/>
      <c r="S278" s="721"/>
      <c r="T278" s="721"/>
      <c r="U278" s="721"/>
      <c r="V278" s="721"/>
      <c r="W278" s="721"/>
      <c r="X278" s="2"/>
      <c r="Y278" s="553" t="str">
        <f>$A$5</f>
        <v>平成29年度小郡市役所庁舎外25施設電力需給</v>
      </c>
      <c r="Z278" s="553"/>
      <c r="AA278" s="553"/>
      <c r="AB278" s="553"/>
      <c r="AC278" s="553"/>
      <c r="AD278" s="553"/>
      <c r="AE278" s="553"/>
      <c r="AF278" s="553"/>
      <c r="AG278" s="553"/>
      <c r="AH278" s="553"/>
      <c r="AI278" s="553"/>
    </row>
    <row r="279" spans="1:35" x14ac:dyDescent="0.15">
      <c r="A279" s="554" t="str">
        <f>$A$6</f>
        <v>（平成３０年１月～平成３０年１２月期間中の予定金額）</v>
      </c>
      <c r="B279" s="554"/>
      <c r="C279" s="554"/>
      <c r="D279" s="554"/>
      <c r="E279" s="554"/>
      <c r="F279" s="554"/>
      <c r="G279" s="554"/>
      <c r="H279" s="554"/>
      <c r="I279" s="554"/>
      <c r="J279" s="554"/>
      <c r="K279" s="554"/>
      <c r="L279" s="2"/>
      <c r="M279" s="722" t="str">
        <f>$A$6</f>
        <v>（平成３０年１月～平成３０年１２月期間中の予定金額）</v>
      </c>
      <c r="N279" s="722"/>
      <c r="O279" s="722"/>
      <c r="P279" s="722"/>
      <c r="Q279" s="722"/>
      <c r="R279" s="722"/>
      <c r="S279" s="722"/>
      <c r="T279" s="722"/>
      <c r="U279" s="722"/>
      <c r="V279" s="722"/>
      <c r="W279" s="722"/>
      <c r="X279" s="2"/>
      <c r="Y279" s="555" t="str">
        <f>$A$6</f>
        <v>（平成３０年１月～平成３０年１２月期間中の予定金額）</v>
      </c>
      <c r="Z279" s="555"/>
      <c r="AA279" s="555"/>
      <c r="AB279" s="555"/>
      <c r="AC279" s="555"/>
      <c r="AD279" s="555"/>
      <c r="AE279" s="555"/>
      <c r="AF279" s="555"/>
      <c r="AG279" s="555"/>
      <c r="AH279" s="555"/>
      <c r="AI279" s="555"/>
    </row>
    <row r="280" spans="1:35" ht="14.25" thickBot="1" x14ac:dyDescent="0.2">
      <c r="A280" s="73" t="s">
        <v>134</v>
      </c>
      <c r="B280" s="73"/>
      <c r="K280" s="5" t="s">
        <v>70</v>
      </c>
      <c r="L280" s="2"/>
      <c r="M280" s="259" t="s">
        <v>134</v>
      </c>
      <c r="N280" s="259"/>
      <c r="O280" s="257"/>
      <c r="P280" s="257"/>
      <c r="Q280" s="257"/>
      <c r="R280" s="257"/>
      <c r="S280" s="257"/>
      <c r="T280" s="257"/>
      <c r="U280" s="257"/>
      <c r="V280" s="257"/>
      <c r="W280" s="255" t="s">
        <v>84</v>
      </c>
      <c r="X280" s="2"/>
      <c r="Y280" s="134" t="s">
        <v>134</v>
      </c>
      <c r="Z280" s="134"/>
      <c r="AI280" s="47" t="s">
        <v>84</v>
      </c>
    </row>
    <row r="281" spans="1:35" ht="18" customHeight="1" thickBot="1" x14ac:dyDescent="0.2">
      <c r="A281" s="556" t="s">
        <v>33</v>
      </c>
      <c r="B281" s="559" t="s">
        <v>24</v>
      </c>
      <c r="C281" s="560"/>
      <c r="D281" s="560"/>
      <c r="E281" s="561"/>
      <c r="F281" s="562" t="s">
        <v>34</v>
      </c>
      <c r="G281" s="563"/>
      <c r="H281" s="563"/>
      <c r="I281" s="563"/>
      <c r="J281" s="564"/>
      <c r="K281" s="565" t="s">
        <v>35</v>
      </c>
      <c r="L281" s="2"/>
      <c r="M281" s="723" t="s">
        <v>33</v>
      </c>
      <c r="N281" s="726" t="s">
        <v>24</v>
      </c>
      <c r="O281" s="727"/>
      <c r="P281" s="727"/>
      <c r="Q281" s="728"/>
      <c r="R281" s="729" t="s">
        <v>34</v>
      </c>
      <c r="S281" s="730"/>
      <c r="T281" s="730"/>
      <c r="U281" s="730"/>
      <c r="V281" s="731"/>
      <c r="W281" s="732" t="s">
        <v>35</v>
      </c>
      <c r="X281" s="2"/>
      <c r="Y281" s="567" t="s">
        <v>33</v>
      </c>
      <c r="Z281" s="570" t="s">
        <v>24</v>
      </c>
      <c r="AA281" s="571"/>
      <c r="AB281" s="571"/>
      <c r="AC281" s="572"/>
      <c r="AD281" s="573" t="s">
        <v>34</v>
      </c>
      <c r="AE281" s="574"/>
      <c r="AF281" s="574"/>
      <c r="AG281" s="574"/>
      <c r="AH281" s="575"/>
      <c r="AI281" s="544" t="s">
        <v>35</v>
      </c>
    </row>
    <row r="282" spans="1:35" ht="13.5" customHeight="1" x14ac:dyDescent="0.15">
      <c r="A282" s="557"/>
      <c r="B282" s="576" t="s">
        <v>28</v>
      </c>
      <c r="C282" s="565" t="s">
        <v>29</v>
      </c>
      <c r="D282" s="576" t="s">
        <v>25</v>
      </c>
      <c r="E282" s="577" t="s">
        <v>31</v>
      </c>
      <c r="F282" s="578" t="s">
        <v>36</v>
      </c>
      <c r="G282" s="579"/>
      <c r="H282" s="119"/>
      <c r="I282" s="565" t="s">
        <v>37</v>
      </c>
      <c r="J282" s="576" t="s">
        <v>38</v>
      </c>
      <c r="K282" s="566"/>
      <c r="L282" s="2"/>
      <c r="M282" s="724"/>
      <c r="N282" s="718" t="s">
        <v>28</v>
      </c>
      <c r="O282" s="732" t="s">
        <v>29</v>
      </c>
      <c r="P282" s="718" t="s">
        <v>25</v>
      </c>
      <c r="Q282" s="738" t="s">
        <v>31</v>
      </c>
      <c r="R282" s="734" t="s">
        <v>36</v>
      </c>
      <c r="S282" s="735"/>
      <c r="T282" s="260"/>
      <c r="U282" s="732" t="s">
        <v>37</v>
      </c>
      <c r="V282" s="718" t="s">
        <v>38</v>
      </c>
      <c r="W282" s="733"/>
      <c r="X282" s="2"/>
      <c r="Y282" s="568"/>
      <c r="Z282" s="546" t="s">
        <v>28</v>
      </c>
      <c r="AA282" s="544" t="s">
        <v>29</v>
      </c>
      <c r="AB282" s="546" t="s">
        <v>25</v>
      </c>
      <c r="AC282" s="582" t="s">
        <v>31</v>
      </c>
      <c r="AD282" s="540" t="s">
        <v>36</v>
      </c>
      <c r="AE282" s="541"/>
      <c r="AF282" s="135"/>
      <c r="AG282" s="544" t="s">
        <v>37</v>
      </c>
      <c r="AH282" s="546" t="s">
        <v>38</v>
      </c>
      <c r="AI282" s="545"/>
    </row>
    <row r="283" spans="1:35" x14ac:dyDescent="0.15">
      <c r="A283" s="557"/>
      <c r="B283" s="576"/>
      <c r="C283" s="566"/>
      <c r="D283" s="576"/>
      <c r="E283" s="576"/>
      <c r="F283" s="580"/>
      <c r="G283" s="581"/>
      <c r="H283" s="120"/>
      <c r="I283" s="566"/>
      <c r="J283" s="576"/>
      <c r="K283" s="566"/>
      <c r="L283" s="2"/>
      <c r="M283" s="724"/>
      <c r="N283" s="718"/>
      <c r="O283" s="733"/>
      <c r="P283" s="718"/>
      <c r="Q283" s="718"/>
      <c r="R283" s="736"/>
      <c r="S283" s="737"/>
      <c r="T283" s="261"/>
      <c r="U283" s="733"/>
      <c r="V283" s="718"/>
      <c r="W283" s="733"/>
      <c r="X283" s="2"/>
      <c r="Y283" s="568"/>
      <c r="Z283" s="546"/>
      <c r="AA283" s="545"/>
      <c r="AB283" s="546"/>
      <c r="AC283" s="546"/>
      <c r="AD283" s="542"/>
      <c r="AE283" s="543"/>
      <c r="AF283" s="136"/>
      <c r="AG283" s="545"/>
      <c r="AH283" s="546"/>
      <c r="AI283" s="545"/>
    </row>
    <row r="284" spans="1:35" ht="23.25" customHeight="1" x14ac:dyDescent="0.15">
      <c r="A284" s="557"/>
      <c r="B284" s="74" t="s">
        <v>13</v>
      </c>
      <c r="C284" s="75" t="s">
        <v>30</v>
      </c>
      <c r="D284" s="74" t="s">
        <v>14</v>
      </c>
      <c r="E284" s="74" t="s">
        <v>40</v>
      </c>
      <c r="F284" s="547" t="s">
        <v>15</v>
      </c>
      <c r="G284" s="548"/>
      <c r="H284" s="121"/>
      <c r="I284" s="75" t="s">
        <v>30</v>
      </c>
      <c r="J284" s="74" t="s">
        <v>40</v>
      </c>
      <c r="K284" s="74" t="s">
        <v>40</v>
      </c>
      <c r="L284" s="2"/>
      <c r="M284" s="724"/>
      <c r="N284" s="262" t="s">
        <v>152</v>
      </c>
      <c r="O284" s="263" t="s">
        <v>30</v>
      </c>
      <c r="P284" s="262" t="s">
        <v>14</v>
      </c>
      <c r="Q284" s="262" t="s">
        <v>40</v>
      </c>
      <c r="R284" s="719" t="s">
        <v>15</v>
      </c>
      <c r="S284" s="720"/>
      <c r="T284" s="264"/>
      <c r="U284" s="263" t="s">
        <v>30</v>
      </c>
      <c r="V284" s="262" t="s">
        <v>40</v>
      </c>
      <c r="W284" s="262" t="s">
        <v>40</v>
      </c>
      <c r="X284" s="2"/>
      <c r="Y284" s="568"/>
      <c r="Z284" s="137" t="s">
        <v>152</v>
      </c>
      <c r="AA284" s="138" t="s">
        <v>30</v>
      </c>
      <c r="AB284" s="137" t="s">
        <v>14</v>
      </c>
      <c r="AC284" s="137" t="s">
        <v>40</v>
      </c>
      <c r="AD284" s="549" t="s">
        <v>15</v>
      </c>
      <c r="AE284" s="550"/>
      <c r="AF284" s="139"/>
      <c r="AG284" s="138" t="s">
        <v>30</v>
      </c>
      <c r="AH284" s="137" t="s">
        <v>40</v>
      </c>
      <c r="AI284" s="137" t="s">
        <v>40</v>
      </c>
    </row>
    <row r="285" spans="1:35" ht="15.75" customHeight="1" thickBot="1" x14ac:dyDescent="0.2">
      <c r="A285" s="558"/>
      <c r="B285" s="76" t="s">
        <v>16</v>
      </c>
      <c r="C285" s="76" t="s">
        <v>17</v>
      </c>
      <c r="D285" s="76" t="s">
        <v>18</v>
      </c>
      <c r="E285" s="76" t="s">
        <v>19</v>
      </c>
      <c r="F285" s="77"/>
      <c r="G285" s="78" t="s">
        <v>20</v>
      </c>
      <c r="H285" s="78"/>
      <c r="I285" s="76" t="s">
        <v>21</v>
      </c>
      <c r="J285" s="76" t="s">
        <v>22</v>
      </c>
      <c r="K285" s="78" t="s">
        <v>23</v>
      </c>
      <c r="L285" s="2"/>
      <c r="M285" s="725"/>
      <c r="N285" s="265" t="s">
        <v>16</v>
      </c>
      <c r="O285" s="265" t="s">
        <v>17</v>
      </c>
      <c r="P285" s="265" t="s">
        <v>18</v>
      </c>
      <c r="Q285" s="265" t="s">
        <v>19</v>
      </c>
      <c r="R285" s="266"/>
      <c r="S285" s="267" t="s">
        <v>20</v>
      </c>
      <c r="T285" s="267"/>
      <c r="U285" s="265" t="s">
        <v>21</v>
      </c>
      <c r="V285" s="265" t="s">
        <v>22</v>
      </c>
      <c r="W285" s="267" t="s">
        <v>23</v>
      </c>
      <c r="X285" s="2"/>
      <c r="Y285" s="569"/>
      <c r="Z285" s="122" t="s">
        <v>16</v>
      </c>
      <c r="AA285" s="122" t="s">
        <v>17</v>
      </c>
      <c r="AB285" s="122" t="s">
        <v>18</v>
      </c>
      <c r="AC285" s="122" t="s">
        <v>19</v>
      </c>
      <c r="AD285" s="140"/>
      <c r="AE285" s="141" t="s">
        <v>20</v>
      </c>
      <c r="AF285" s="141"/>
      <c r="AG285" s="122" t="s">
        <v>21</v>
      </c>
      <c r="AH285" s="122" t="s">
        <v>22</v>
      </c>
      <c r="AI285" s="141" t="s">
        <v>23</v>
      </c>
    </row>
    <row r="286" spans="1:35" ht="30" customHeight="1" x14ac:dyDescent="0.15">
      <c r="A286" s="107" t="s">
        <v>83</v>
      </c>
      <c r="B286" s="112">
        <v>150</v>
      </c>
      <c r="C286" s="113">
        <v>2008.8</v>
      </c>
      <c r="D286" s="117">
        <v>100</v>
      </c>
      <c r="E286" s="79">
        <f t="shared" ref="E286:E297" si="159">ROUNDDOWN(B286*C286*((185-D286)/100),2)</f>
        <v>256122</v>
      </c>
      <c r="F286" s="80" t="s">
        <v>85</v>
      </c>
      <c r="G286" s="81">
        <v>15226</v>
      </c>
      <c r="H286" s="81"/>
      <c r="I286" s="116">
        <v>11.87</v>
      </c>
      <c r="J286" s="79">
        <f t="shared" ref="J286:J297" si="160">ROUNDDOWN(G286*I286,2)</f>
        <v>180732.62</v>
      </c>
      <c r="K286" s="82">
        <f t="shared" ref="K286:K297" si="161">ROUNDDOWN(J286+E286,2)</f>
        <v>436854.62</v>
      </c>
      <c r="L286" s="2"/>
      <c r="M286" s="268" t="s">
        <v>83</v>
      </c>
      <c r="N286" s="269">
        <v>150</v>
      </c>
      <c r="O286" s="270">
        <v>1296</v>
      </c>
      <c r="P286" s="269">
        <v>100</v>
      </c>
      <c r="Q286" s="271">
        <f t="shared" ref="Q286:Q297" si="162">ROUNDDOWN(N286*O286*((185-P286)/100),2)</f>
        <v>165240</v>
      </c>
      <c r="R286" s="279" t="s">
        <v>85</v>
      </c>
      <c r="S286" s="273">
        <v>15226</v>
      </c>
      <c r="T286" s="273"/>
      <c r="U286" s="270">
        <v>16.87</v>
      </c>
      <c r="V286" s="271">
        <f t="shared" ref="V286:V297" si="163">ROUNDDOWN(S286*U286,2)</f>
        <v>256862.62</v>
      </c>
      <c r="W286" s="274">
        <f t="shared" ref="W286:W297" si="164">ROUNDDOWN(V286+Q286,2)</f>
        <v>422102.62</v>
      </c>
      <c r="X286" s="2"/>
      <c r="Y286" s="142" t="s">
        <v>83</v>
      </c>
      <c r="Z286" s="143">
        <v>150</v>
      </c>
      <c r="AA286" s="123">
        <v>1296</v>
      </c>
      <c r="AB286" s="163">
        <v>100</v>
      </c>
      <c r="AC286" s="98">
        <f t="shared" ref="AC286:AC297" si="165">ROUNDDOWN(Z286*AA286*((185-AB286)/100),2)</f>
        <v>165240</v>
      </c>
      <c r="AD286" s="145" t="s">
        <v>85</v>
      </c>
      <c r="AE286" s="146">
        <v>15226</v>
      </c>
      <c r="AF286" s="146"/>
      <c r="AG286" s="124">
        <v>16.87</v>
      </c>
      <c r="AH286" s="98">
        <f t="shared" ref="AH286:AH297" si="166">ROUNDDOWN(AE286*AG286,2)</f>
        <v>256862.62</v>
      </c>
      <c r="AI286" s="147">
        <f t="shared" ref="AI286:AI297" si="167">ROUNDDOWN(AH286+AC286,2)</f>
        <v>422102.62</v>
      </c>
    </row>
    <row r="287" spans="1:35" ht="30" customHeight="1" x14ac:dyDescent="0.15">
      <c r="A287" s="105" t="s">
        <v>72</v>
      </c>
      <c r="B287" s="108">
        <f t="shared" ref="B287:B297" si="168">B286</f>
        <v>150</v>
      </c>
      <c r="C287" s="109">
        <f t="shared" ref="C287:C297" si="169">C286</f>
        <v>2008.8</v>
      </c>
      <c r="D287" s="114">
        <f t="shared" ref="D287:D297" si="170">D286</f>
        <v>100</v>
      </c>
      <c r="E287" s="79">
        <f t="shared" si="159"/>
        <v>256122</v>
      </c>
      <c r="F287" s="80" t="s">
        <v>112</v>
      </c>
      <c r="G287" s="81">
        <v>15874</v>
      </c>
      <c r="H287" s="81"/>
      <c r="I287" s="109">
        <f>I286</f>
        <v>11.87</v>
      </c>
      <c r="J287" s="79">
        <f t="shared" si="160"/>
        <v>188424.38</v>
      </c>
      <c r="K287" s="82">
        <f t="shared" si="161"/>
        <v>444546.38</v>
      </c>
      <c r="L287" s="2"/>
      <c r="M287" s="275" t="s">
        <v>72</v>
      </c>
      <c r="N287" s="276">
        <f t="shared" ref="N287:N297" si="171">N286</f>
        <v>150</v>
      </c>
      <c r="O287" s="277">
        <f t="shared" ref="O287:O297" si="172">O286</f>
        <v>1296</v>
      </c>
      <c r="P287" s="278">
        <f t="shared" ref="P287:P297" si="173">P286</f>
        <v>100</v>
      </c>
      <c r="Q287" s="271">
        <f t="shared" si="162"/>
        <v>165240</v>
      </c>
      <c r="R287" s="279" t="s">
        <v>112</v>
      </c>
      <c r="S287" s="273">
        <v>15874</v>
      </c>
      <c r="T287" s="273"/>
      <c r="U287" s="277">
        <f>U286</f>
        <v>16.87</v>
      </c>
      <c r="V287" s="271">
        <f t="shared" si="163"/>
        <v>267794.38</v>
      </c>
      <c r="W287" s="274">
        <f t="shared" si="164"/>
        <v>433034.38</v>
      </c>
      <c r="X287" s="2"/>
      <c r="Y287" s="148" t="s">
        <v>72</v>
      </c>
      <c r="Z287" s="149">
        <f t="shared" ref="Z287:Z297" si="174">Z286</f>
        <v>150</v>
      </c>
      <c r="AA287" s="125">
        <f t="shared" ref="AA287:AA297" si="175">AA286</f>
        <v>1296</v>
      </c>
      <c r="AB287" s="106">
        <f t="shared" ref="AB287:AB297" si="176">AB286</f>
        <v>100</v>
      </c>
      <c r="AC287" s="98">
        <f t="shared" si="165"/>
        <v>165240</v>
      </c>
      <c r="AD287" s="145" t="s">
        <v>112</v>
      </c>
      <c r="AE287" s="146">
        <v>15874</v>
      </c>
      <c r="AF287" s="146"/>
      <c r="AG287" s="125">
        <f>AG286</f>
        <v>16.87</v>
      </c>
      <c r="AH287" s="98">
        <f t="shared" si="166"/>
        <v>267794.38</v>
      </c>
      <c r="AI287" s="147">
        <f t="shared" si="167"/>
        <v>433034.38</v>
      </c>
    </row>
    <row r="288" spans="1:35" ht="30" customHeight="1" x14ac:dyDescent="0.15">
      <c r="A288" s="105" t="s">
        <v>73</v>
      </c>
      <c r="B288" s="108">
        <f t="shared" si="168"/>
        <v>150</v>
      </c>
      <c r="C288" s="109">
        <f t="shared" si="169"/>
        <v>2008.8</v>
      </c>
      <c r="D288" s="114">
        <f t="shared" si="170"/>
        <v>100</v>
      </c>
      <c r="E288" s="79">
        <f t="shared" si="159"/>
        <v>256122</v>
      </c>
      <c r="F288" s="80" t="s">
        <v>9</v>
      </c>
      <c r="G288" s="81">
        <v>12890</v>
      </c>
      <c r="H288" s="81"/>
      <c r="I288" s="109">
        <f>I287</f>
        <v>11.87</v>
      </c>
      <c r="J288" s="79">
        <f t="shared" si="160"/>
        <v>153004.29999999999</v>
      </c>
      <c r="K288" s="82">
        <f t="shared" si="161"/>
        <v>409126.3</v>
      </c>
      <c r="L288" s="2"/>
      <c r="M288" s="275" t="s">
        <v>73</v>
      </c>
      <c r="N288" s="276">
        <f t="shared" si="171"/>
        <v>150</v>
      </c>
      <c r="O288" s="277">
        <f t="shared" si="172"/>
        <v>1296</v>
      </c>
      <c r="P288" s="278">
        <f t="shared" si="173"/>
        <v>100</v>
      </c>
      <c r="Q288" s="271">
        <f t="shared" si="162"/>
        <v>165240</v>
      </c>
      <c r="R288" s="279" t="s">
        <v>9</v>
      </c>
      <c r="S288" s="273">
        <v>12890</v>
      </c>
      <c r="T288" s="273"/>
      <c r="U288" s="277">
        <f>U287</f>
        <v>16.87</v>
      </c>
      <c r="V288" s="271">
        <f t="shared" si="163"/>
        <v>217454.3</v>
      </c>
      <c r="W288" s="274">
        <f t="shared" si="164"/>
        <v>382694.3</v>
      </c>
      <c r="X288" s="2"/>
      <c r="Y288" s="148" t="s">
        <v>73</v>
      </c>
      <c r="Z288" s="149">
        <f t="shared" si="174"/>
        <v>150</v>
      </c>
      <c r="AA288" s="125">
        <f t="shared" si="175"/>
        <v>1296</v>
      </c>
      <c r="AB288" s="106">
        <f t="shared" si="176"/>
        <v>100</v>
      </c>
      <c r="AC288" s="98">
        <f t="shared" si="165"/>
        <v>165240</v>
      </c>
      <c r="AD288" s="145" t="s">
        <v>9</v>
      </c>
      <c r="AE288" s="146">
        <v>12890</v>
      </c>
      <c r="AF288" s="146"/>
      <c r="AG288" s="125">
        <f>AG287</f>
        <v>16.87</v>
      </c>
      <c r="AH288" s="98">
        <f t="shared" si="166"/>
        <v>217454.3</v>
      </c>
      <c r="AI288" s="147">
        <f t="shared" si="167"/>
        <v>382694.3</v>
      </c>
    </row>
    <row r="289" spans="1:35" ht="30" customHeight="1" x14ac:dyDescent="0.15">
      <c r="A289" s="105" t="s">
        <v>74</v>
      </c>
      <c r="B289" s="108">
        <f t="shared" si="168"/>
        <v>150</v>
      </c>
      <c r="C289" s="109">
        <f t="shared" si="169"/>
        <v>2008.8</v>
      </c>
      <c r="D289" s="114">
        <f t="shared" si="170"/>
        <v>100</v>
      </c>
      <c r="E289" s="79">
        <f t="shared" si="159"/>
        <v>256122</v>
      </c>
      <c r="F289" s="80" t="s">
        <v>9</v>
      </c>
      <c r="G289" s="81">
        <v>8466</v>
      </c>
      <c r="H289" s="81"/>
      <c r="I289" s="109">
        <f>I288</f>
        <v>11.87</v>
      </c>
      <c r="J289" s="79">
        <f t="shared" si="160"/>
        <v>100491.42</v>
      </c>
      <c r="K289" s="82">
        <f t="shared" si="161"/>
        <v>356613.42</v>
      </c>
      <c r="L289" s="2"/>
      <c r="M289" s="275" t="s">
        <v>74</v>
      </c>
      <c r="N289" s="276">
        <f t="shared" si="171"/>
        <v>150</v>
      </c>
      <c r="O289" s="277">
        <f t="shared" si="172"/>
        <v>1296</v>
      </c>
      <c r="P289" s="278">
        <f t="shared" si="173"/>
        <v>100</v>
      </c>
      <c r="Q289" s="271">
        <f t="shared" si="162"/>
        <v>165240</v>
      </c>
      <c r="R289" s="279" t="s">
        <v>9</v>
      </c>
      <c r="S289" s="273">
        <v>8466</v>
      </c>
      <c r="T289" s="273"/>
      <c r="U289" s="277">
        <f>U288</f>
        <v>16.87</v>
      </c>
      <c r="V289" s="271">
        <f t="shared" si="163"/>
        <v>142821.42000000001</v>
      </c>
      <c r="W289" s="274">
        <f t="shared" si="164"/>
        <v>308061.42</v>
      </c>
      <c r="X289" s="2"/>
      <c r="Y289" s="148" t="s">
        <v>74</v>
      </c>
      <c r="Z289" s="149">
        <f t="shared" si="174"/>
        <v>150</v>
      </c>
      <c r="AA289" s="125">
        <f t="shared" si="175"/>
        <v>1296</v>
      </c>
      <c r="AB289" s="106">
        <f t="shared" si="176"/>
        <v>100</v>
      </c>
      <c r="AC289" s="98">
        <f t="shared" si="165"/>
        <v>165240</v>
      </c>
      <c r="AD289" s="145" t="s">
        <v>9</v>
      </c>
      <c r="AE289" s="146">
        <v>8466</v>
      </c>
      <c r="AF289" s="146"/>
      <c r="AG289" s="125">
        <f>AG288</f>
        <v>16.87</v>
      </c>
      <c r="AH289" s="98">
        <f t="shared" si="166"/>
        <v>142821.42000000001</v>
      </c>
      <c r="AI289" s="147">
        <f t="shared" si="167"/>
        <v>308061.42</v>
      </c>
    </row>
    <row r="290" spans="1:35" ht="30" customHeight="1" x14ac:dyDescent="0.15">
      <c r="A290" s="105" t="s">
        <v>75</v>
      </c>
      <c r="B290" s="108">
        <f t="shared" si="168"/>
        <v>150</v>
      </c>
      <c r="C290" s="109">
        <f t="shared" si="169"/>
        <v>2008.8</v>
      </c>
      <c r="D290" s="114">
        <f t="shared" si="170"/>
        <v>100</v>
      </c>
      <c r="E290" s="79">
        <f t="shared" si="159"/>
        <v>256122</v>
      </c>
      <c r="F290" s="80" t="s">
        <v>9</v>
      </c>
      <c r="G290" s="81">
        <v>9696</v>
      </c>
      <c r="H290" s="81"/>
      <c r="I290" s="109">
        <f>I289</f>
        <v>11.87</v>
      </c>
      <c r="J290" s="79">
        <f t="shared" si="160"/>
        <v>115091.52</v>
      </c>
      <c r="K290" s="82">
        <f t="shared" si="161"/>
        <v>371213.52</v>
      </c>
      <c r="L290" s="2"/>
      <c r="M290" s="275" t="s">
        <v>75</v>
      </c>
      <c r="N290" s="276">
        <f t="shared" si="171"/>
        <v>150</v>
      </c>
      <c r="O290" s="277">
        <f t="shared" si="172"/>
        <v>1296</v>
      </c>
      <c r="P290" s="278">
        <f t="shared" si="173"/>
        <v>100</v>
      </c>
      <c r="Q290" s="271">
        <f t="shared" si="162"/>
        <v>165240</v>
      </c>
      <c r="R290" s="279" t="s">
        <v>9</v>
      </c>
      <c r="S290" s="273">
        <v>9696</v>
      </c>
      <c r="T290" s="273"/>
      <c r="U290" s="277">
        <f>U289</f>
        <v>16.87</v>
      </c>
      <c r="V290" s="271">
        <f t="shared" si="163"/>
        <v>163571.51999999999</v>
      </c>
      <c r="W290" s="274">
        <f t="shared" si="164"/>
        <v>328811.52000000002</v>
      </c>
      <c r="X290" s="2"/>
      <c r="Y290" s="148" t="s">
        <v>75</v>
      </c>
      <c r="Z290" s="149">
        <f t="shared" si="174"/>
        <v>150</v>
      </c>
      <c r="AA290" s="125">
        <f t="shared" si="175"/>
        <v>1296</v>
      </c>
      <c r="AB290" s="106">
        <f t="shared" si="176"/>
        <v>100</v>
      </c>
      <c r="AC290" s="98">
        <f t="shared" si="165"/>
        <v>165240</v>
      </c>
      <c r="AD290" s="145" t="s">
        <v>9</v>
      </c>
      <c r="AE290" s="146">
        <v>9696</v>
      </c>
      <c r="AF290" s="146"/>
      <c r="AG290" s="125">
        <f>AG289</f>
        <v>16.87</v>
      </c>
      <c r="AH290" s="98">
        <f t="shared" si="166"/>
        <v>163571.51999999999</v>
      </c>
      <c r="AI290" s="147">
        <f t="shared" si="167"/>
        <v>328811.52000000002</v>
      </c>
    </row>
    <row r="291" spans="1:35" ht="30" customHeight="1" x14ac:dyDescent="0.15">
      <c r="A291" s="105" t="s">
        <v>76</v>
      </c>
      <c r="B291" s="108">
        <f t="shared" si="168"/>
        <v>150</v>
      </c>
      <c r="C291" s="109">
        <f t="shared" si="169"/>
        <v>2008.8</v>
      </c>
      <c r="D291" s="114">
        <f t="shared" si="170"/>
        <v>100</v>
      </c>
      <c r="E291" s="79">
        <f t="shared" si="159"/>
        <v>256122</v>
      </c>
      <c r="F291" s="80" t="s">
        <v>9</v>
      </c>
      <c r="G291" s="81">
        <v>15582</v>
      </c>
      <c r="H291" s="81"/>
      <c r="I291" s="109">
        <f>I290</f>
        <v>11.87</v>
      </c>
      <c r="J291" s="79">
        <f t="shared" si="160"/>
        <v>184958.34</v>
      </c>
      <c r="K291" s="82">
        <f t="shared" si="161"/>
        <v>441080.34</v>
      </c>
      <c r="L291" s="2"/>
      <c r="M291" s="275" t="s">
        <v>76</v>
      </c>
      <c r="N291" s="276">
        <f t="shared" si="171"/>
        <v>150</v>
      </c>
      <c r="O291" s="277">
        <f t="shared" si="172"/>
        <v>1296</v>
      </c>
      <c r="P291" s="278">
        <f t="shared" si="173"/>
        <v>100</v>
      </c>
      <c r="Q291" s="271">
        <f t="shared" si="162"/>
        <v>165240</v>
      </c>
      <c r="R291" s="279" t="s">
        <v>9</v>
      </c>
      <c r="S291" s="273">
        <v>15582</v>
      </c>
      <c r="T291" s="273"/>
      <c r="U291" s="277">
        <f>U290</f>
        <v>16.87</v>
      </c>
      <c r="V291" s="271">
        <f t="shared" si="163"/>
        <v>262868.34000000003</v>
      </c>
      <c r="W291" s="274">
        <f t="shared" si="164"/>
        <v>428108.34</v>
      </c>
      <c r="X291" s="2"/>
      <c r="Y291" s="148" t="s">
        <v>76</v>
      </c>
      <c r="Z291" s="149">
        <f t="shared" si="174"/>
        <v>150</v>
      </c>
      <c r="AA291" s="125">
        <f t="shared" si="175"/>
        <v>1296</v>
      </c>
      <c r="AB291" s="106">
        <f t="shared" si="176"/>
        <v>100</v>
      </c>
      <c r="AC291" s="98">
        <f t="shared" si="165"/>
        <v>165240</v>
      </c>
      <c r="AD291" s="145" t="s">
        <v>9</v>
      </c>
      <c r="AE291" s="146">
        <v>15582</v>
      </c>
      <c r="AF291" s="146"/>
      <c r="AG291" s="125">
        <f>AG290</f>
        <v>16.87</v>
      </c>
      <c r="AH291" s="98">
        <f t="shared" si="166"/>
        <v>262868.34000000003</v>
      </c>
      <c r="AI291" s="147">
        <f t="shared" si="167"/>
        <v>428108.34</v>
      </c>
    </row>
    <row r="292" spans="1:35" ht="30" customHeight="1" x14ac:dyDescent="0.15">
      <c r="A292" s="105" t="s">
        <v>77</v>
      </c>
      <c r="B292" s="108">
        <f t="shared" si="168"/>
        <v>150</v>
      </c>
      <c r="C292" s="109">
        <f t="shared" si="169"/>
        <v>2008.8</v>
      </c>
      <c r="D292" s="114">
        <f t="shared" si="170"/>
        <v>100</v>
      </c>
      <c r="E292" s="79">
        <f t="shared" si="159"/>
        <v>256122</v>
      </c>
      <c r="F292" s="80" t="s">
        <v>71</v>
      </c>
      <c r="G292" s="81">
        <v>17604</v>
      </c>
      <c r="H292" s="81"/>
      <c r="I292" s="116">
        <v>12.78</v>
      </c>
      <c r="J292" s="79">
        <f t="shared" si="160"/>
        <v>224979.12</v>
      </c>
      <c r="K292" s="82">
        <f t="shared" si="161"/>
        <v>481101.12</v>
      </c>
      <c r="L292" s="2"/>
      <c r="M292" s="275" t="s">
        <v>77</v>
      </c>
      <c r="N292" s="276">
        <f t="shared" si="171"/>
        <v>150</v>
      </c>
      <c r="O292" s="277">
        <f t="shared" si="172"/>
        <v>1296</v>
      </c>
      <c r="P292" s="278">
        <f t="shared" si="173"/>
        <v>100</v>
      </c>
      <c r="Q292" s="271">
        <f t="shared" si="162"/>
        <v>165240</v>
      </c>
      <c r="R292" s="279" t="s">
        <v>71</v>
      </c>
      <c r="S292" s="273">
        <v>17604</v>
      </c>
      <c r="T292" s="273"/>
      <c r="U292" s="270">
        <v>18.29</v>
      </c>
      <c r="V292" s="271">
        <f t="shared" si="163"/>
        <v>321977.15999999997</v>
      </c>
      <c r="W292" s="274">
        <f t="shared" si="164"/>
        <v>487217.16</v>
      </c>
      <c r="X292" s="2"/>
      <c r="Y292" s="148" t="s">
        <v>77</v>
      </c>
      <c r="Z292" s="149">
        <f t="shared" si="174"/>
        <v>150</v>
      </c>
      <c r="AA292" s="125">
        <f t="shared" si="175"/>
        <v>1296</v>
      </c>
      <c r="AB292" s="106">
        <f t="shared" si="176"/>
        <v>100</v>
      </c>
      <c r="AC292" s="98">
        <f t="shared" si="165"/>
        <v>165240</v>
      </c>
      <c r="AD292" s="145" t="s">
        <v>71</v>
      </c>
      <c r="AE292" s="146">
        <v>17604</v>
      </c>
      <c r="AF292" s="146"/>
      <c r="AG292" s="124">
        <v>18.29</v>
      </c>
      <c r="AH292" s="98">
        <f t="shared" si="166"/>
        <v>321977.15999999997</v>
      </c>
      <c r="AI292" s="147">
        <f t="shared" si="167"/>
        <v>487217.16</v>
      </c>
    </row>
    <row r="293" spans="1:35" ht="30" customHeight="1" x14ac:dyDescent="0.15">
      <c r="A293" s="105" t="s">
        <v>78</v>
      </c>
      <c r="B293" s="108">
        <f t="shared" si="168"/>
        <v>150</v>
      </c>
      <c r="C293" s="109">
        <f t="shared" si="169"/>
        <v>2008.8</v>
      </c>
      <c r="D293" s="114">
        <f t="shared" si="170"/>
        <v>100</v>
      </c>
      <c r="E293" s="79">
        <f t="shared" si="159"/>
        <v>256122</v>
      </c>
      <c r="F293" s="80" t="s">
        <v>71</v>
      </c>
      <c r="G293" s="81">
        <v>9120</v>
      </c>
      <c r="H293" s="81"/>
      <c r="I293" s="109">
        <f>I292</f>
        <v>12.78</v>
      </c>
      <c r="J293" s="79">
        <f t="shared" si="160"/>
        <v>116553.60000000001</v>
      </c>
      <c r="K293" s="82">
        <f t="shared" si="161"/>
        <v>372675.6</v>
      </c>
      <c r="L293" s="2"/>
      <c r="M293" s="275" t="s">
        <v>78</v>
      </c>
      <c r="N293" s="276">
        <f t="shared" si="171"/>
        <v>150</v>
      </c>
      <c r="O293" s="277">
        <f t="shared" si="172"/>
        <v>1296</v>
      </c>
      <c r="P293" s="278">
        <f t="shared" si="173"/>
        <v>100</v>
      </c>
      <c r="Q293" s="271">
        <f t="shared" si="162"/>
        <v>165240</v>
      </c>
      <c r="R293" s="279" t="s">
        <v>71</v>
      </c>
      <c r="S293" s="273">
        <v>9120</v>
      </c>
      <c r="T293" s="273"/>
      <c r="U293" s="277">
        <f>U292</f>
        <v>18.29</v>
      </c>
      <c r="V293" s="271">
        <f t="shared" si="163"/>
        <v>166804.79999999999</v>
      </c>
      <c r="W293" s="274">
        <f t="shared" si="164"/>
        <v>332044.79999999999</v>
      </c>
      <c r="X293" s="2"/>
      <c r="Y293" s="148" t="s">
        <v>78</v>
      </c>
      <c r="Z293" s="149">
        <f t="shared" si="174"/>
        <v>150</v>
      </c>
      <c r="AA293" s="125">
        <f t="shared" si="175"/>
        <v>1296</v>
      </c>
      <c r="AB293" s="106">
        <f t="shared" si="176"/>
        <v>100</v>
      </c>
      <c r="AC293" s="98">
        <f t="shared" si="165"/>
        <v>165240</v>
      </c>
      <c r="AD293" s="145" t="s">
        <v>71</v>
      </c>
      <c r="AE293" s="146">
        <v>9120</v>
      </c>
      <c r="AF293" s="146"/>
      <c r="AG293" s="125">
        <f>AG292</f>
        <v>18.29</v>
      </c>
      <c r="AH293" s="98">
        <f t="shared" si="166"/>
        <v>166804.79999999999</v>
      </c>
      <c r="AI293" s="147">
        <f t="shared" si="167"/>
        <v>332044.79999999999</v>
      </c>
    </row>
    <row r="294" spans="1:35" ht="30" customHeight="1" x14ac:dyDescent="0.15">
      <c r="A294" s="105" t="s">
        <v>79</v>
      </c>
      <c r="B294" s="108">
        <f t="shared" si="168"/>
        <v>150</v>
      </c>
      <c r="C294" s="109">
        <f t="shared" si="169"/>
        <v>2008.8</v>
      </c>
      <c r="D294" s="114">
        <f t="shared" si="170"/>
        <v>100</v>
      </c>
      <c r="E294" s="79">
        <f t="shared" si="159"/>
        <v>256122</v>
      </c>
      <c r="F294" s="80" t="s">
        <v>71</v>
      </c>
      <c r="G294" s="81">
        <v>14136</v>
      </c>
      <c r="H294" s="81"/>
      <c r="I294" s="109">
        <f>I293</f>
        <v>12.78</v>
      </c>
      <c r="J294" s="79">
        <f t="shared" si="160"/>
        <v>180658.08</v>
      </c>
      <c r="K294" s="82">
        <f t="shared" si="161"/>
        <v>436780.08</v>
      </c>
      <c r="L294" s="2"/>
      <c r="M294" s="275" t="s">
        <v>79</v>
      </c>
      <c r="N294" s="276">
        <f t="shared" si="171"/>
        <v>150</v>
      </c>
      <c r="O294" s="277">
        <f t="shared" si="172"/>
        <v>1296</v>
      </c>
      <c r="P294" s="278">
        <f t="shared" si="173"/>
        <v>100</v>
      </c>
      <c r="Q294" s="271">
        <f t="shared" si="162"/>
        <v>165240</v>
      </c>
      <c r="R294" s="279" t="s">
        <v>71</v>
      </c>
      <c r="S294" s="273">
        <v>14136</v>
      </c>
      <c r="T294" s="273"/>
      <c r="U294" s="277">
        <f>U293</f>
        <v>18.29</v>
      </c>
      <c r="V294" s="271">
        <f t="shared" si="163"/>
        <v>258547.44</v>
      </c>
      <c r="W294" s="274">
        <f t="shared" si="164"/>
        <v>423787.44</v>
      </c>
      <c r="X294" s="2"/>
      <c r="Y294" s="148" t="s">
        <v>79</v>
      </c>
      <c r="Z294" s="149">
        <f t="shared" si="174"/>
        <v>150</v>
      </c>
      <c r="AA294" s="125">
        <f t="shared" si="175"/>
        <v>1296</v>
      </c>
      <c r="AB294" s="106">
        <f t="shared" si="176"/>
        <v>100</v>
      </c>
      <c r="AC294" s="98">
        <f t="shared" si="165"/>
        <v>165240</v>
      </c>
      <c r="AD294" s="145" t="s">
        <v>71</v>
      </c>
      <c r="AE294" s="146">
        <v>14136</v>
      </c>
      <c r="AF294" s="146"/>
      <c r="AG294" s="125">
        <f>AG293</f>
        <v>18.29</v>
      </c>
      <c r="AH294" s="98">
        <f t="shared" si="166"/>
        <v>258547.44</v>
      </c>
      <c r="AI294" s="147">
        <f t="shared" si="167"/>
        <v>423787.44</v>
      </c>
    </row>
    <row r="295" spans="1:35" ht="30" customHeight="1" x14ac:dyDescent="0.15">
      <c r="A295" s="105" t="s">
        <v>80</v>
      </c>
      <c r="B295" s="108">
        <f t="shared" si="168"/>
        <v>150</v>
      </c>
      <c r="C295" s="109">
        <f t="shared" si="169"/>
        <v>2008.8</v>
      </c>
      <c r="D295" s="114">
        <f t="shared" si="170"/>
        <v>100</v>
      </c>
      <c r="E295" s="79">
        <f t="shared" si="159"/>
        <v>256122</v>
      </c>
      <c r="F295" s="80" t="s">
        <v>9</v>
      </c>
      <c r="G295" s="81">
        <v>11988</v>
      </c>
      <c r="H295" s="81"/>
      <c r="I295" s="109">
        <f>I286</f>
        <v>11.87</v>
      </c>
      <c r="J295" s="79">
        <f t="shared" si="160"/>
        <v>142297.56</v>
      </c>
      <c r="K295" s="82">
        <f t="shared" si="161"/>
        <v>398419.56</v>
      </c>
      <c r="L295" s="2"/>
      <c r="M295" s="275" t="s">
        <v>80</v>
      </c>
      <c r="N295" s="276">
        <f t="shared" si="171"/>
        <v>150</v>
      </c>
      <c r="O295" s="277">
        <f t="shared" si="172"/>
        <v>1296</v>
      </c>
      <c r="P295" s="278">
        <f t="shared" si="173"/>
        <v>100</v>
      </c>
      <c r="Q295" s="271">
        <f t="shared" si="162"/>
        <v>165240</v>
      </c>
      <c r="R295" s="279" t="s">
        <v>9</v>
      </c>
      <c r="S295" s="273">
        <v>11988</v>
      </c>
      <c r="T295" s="273"/>
      <c r="U295" s="277">
        <f>U286</f>
        <v>16.87</v>
      </c>
      <c r="V295" s="271">
        <f t="shared" si="163"/>
        <v>202237.56</v>
      </c>
      <c r="W295" s="274">
        <f t="shared" si="164"/>
        <v>367477.56</v>
      </c>
      <c r="X295" s="2"/>
      <c r="Y295" s="148" t="s">
        <v>80</v>
      </c>
      <c r="Z295" s="149">
        <f t="shared" si="174"/>
        <v>150</v>
      </c>
      <c r="AA295" s="125">
        <f t="shared" si="175"/>
        <v>1296</v>
      </c>
      <c r="AB295" s="106">
        <f t="shared" si="176"/>
        <v>100</v>
      </c>
      <c r="AC295" s="98">
        <f t="shared" si="165"/>
        <v>165240</v>
      </c>
      <c r="AD295" s="145" t="s">
        <v>9</v>
      </c>
      <c r="AE295" s="146">
        <v>11988</v>
      </c>
      <c r="AF295" s="146"/>
      <c r="AG295" s="125">
        <f>AG286</f>
        <v>16.87</v>
      </c>
      <c r="AH295" s="98">
        <f t="shared" si="166"/>
        <v>202237.56</v>
      </c>
      <c r="AI295" s="147">
        <f t="shared" si="167"/>
        <v>367477.56</v>
      </c>
    </row>
    <row r="296" spans="1:35" ht="30" customHeight="1" x14ac:dyDescent="0.15">
      <c r="A296" s="105" t="s">
        <v>81</v>
      </c>
      <c r="B296" s="108">
        <f t="shared" si="168"/>
        <v>150</v>
      </c>
      <c r="C296" s="109">
        <f t="shared" si="169"/>
        <v>2008.8</v>
      </c>
      <c r="D296" s="114">
        <f t="shared" si="170"/>
        <v>100</v>
      </c>
      <c r="E296" s="79">
        <f t="shared" si="159"/>
        <v>256122</v>
      </c>
      <c r="F296" s="80" t="s">
        <v>9</v>
      </c>
      <c r="G296" s="81">
        <v>11844</v>
      </c>
      <c r="H296" s="81"/>
      <c r="I296" s="118">
        <f>I295</f>
        <v>11.87</v>
      </c>
      <c r="J296" s="79">
        <f t="shared" si="160"/>
        <v>140588.28</v>
      </c>
      <c r="K296" s="82">
        <f t="shared" si="161"/>
        <v>396710.28</v>
      </c>
      <c r="L296" s="2"/>
      <c r="M296" s="275" t="s">
        <v>81</v>
      </c>
      <c r="N296" s="276">
        <f t="shared" si="171"/>
        <v>150</v>
      </c>
      <c r="O296" s="277">
        <f t="shared" si="172"/>
        <v>1296</v>
      </c>
      <c r="P296" s="278">
        <f t="shared" si="173"/>
        <v>100</v>
      </c>
      <c r="Q296" s="271">
        <f t="shared" si="162"/>
        <v>165240</v>
      </c>
      <c r="R296" s="279" t="s">
        <v>9</v>
      </c>
      <c r="S296" s="273">
        <v>11844</v>
      </c>
      <c r="T296" s="273"/>
      <c r="U296" s="280">
        <f>U295</f>
        <v>16.87</v>
      </c>
      <c r="V296" s="271">
        <f t="shared" si="163"/>
        <v>199808.28</v>
      </c>
      <c r="W296" s="274">
        <f t="shared" si="164"/>
        <v>365048.28</v>
      </c>
      <c r="X296" s="2"/>
      <c r="Y296" s="148" t="s">
        <v>81</v>
      </c>
      <c r="Z296" s="149">
        <f t="shared" si="174"/>
        <v>150</v>
      </c>
      <c r="AA296" s="125">
        <f t="shared" si="175"/>
        <v>1296</v>
      </c>
      <c r="AB296" s="106">
        <f t="shared" si="176"/>
        <v>100</v>
      </c>
      <c r="AC296" s="98">
        <f t="shared" si="165"/>
        <v>165240</v>
      </c>
      <c r="AD296" s="145" t="s">
        <v>9</v>
      </c>
      <c r="AE296" s="146">
        <v>11844</v>
      </c>
      <c r="AF296" s="146"/>
      <c r="AG296" s="127">
        <f>AG295</f>
        <v>16.87</v>
      </c>
      <c r="AH296" s="98">
        <f t="shared" si="166"/>
        <v>199808.28</v>
      </c>
      <c r="AI296" s="147">
        <f t="shared" si="167"/>
        <v>365048.28</v>
      </c>
    </row>
    <row r="297" spans="1:35" ht="30" customHeight="1" thickBot="1" x14ac:dyDescent="0.2">
      <c r="A297" s="84" t="s">
        <v>82</v>
      </c>
      <c r="B297" s="110">
        <f t="shared" si="168"/>
        <v>150</v>
      </c>
      <c r="C297" s="111">
        <f t="shared" si="169"/>
        <v>2008.8</v>
      </c>
      <c r="D297" s="115">
        <f t="shared" si="170"/>
        <v>100</v>
      </c>
      <c r="E297" s="85">
        <f t="shared" si="159"/>
        <v>256122</v>
      </c>
      <c r="F297" s="86" t="s">
        <v>9</v>
      </c>
      <c r="G297" s="87">
        <v>11892</v>
      </c>
      <c r="H297" s="87"/>
      <c r="I297" s="111">
        <f>I296</f>
        <v>11.87</v>
      </c>
      <c r="J297" s="85">
        <f t="shared" si="160"/>
        <v>141158.04</v>
      </c>
      <c r="K297" s="88">
        <f t="shared" si="161"/>
        <v>397280.04</v>
      </c>
      <c r="L297" s="2"/>
      <c r="M297" s="281" t="s">
        <v>82</v>
      </c>
      <c r="N297" s="282">
        <f t="shared" si="171"/>
        <v>150</v>
      </c>
      <c r="O297" s="283">
        <f t="shared" si="172"/>
        <v>1296</v>
      </c>
      <c r="P297" s="282">
        <f t="shared" si="173"/>
        <v>100</v>
      </c>
      <c r="Q297" s="284">
        <f t="shared" si="162"/>
        <v>165240</v>
      </c>
      <c r="R297" s="285" t="s">
        <v>9</v>
      </c>
      <c r="S297" s="286">
        <v>11892</v>
      </c>
      <c r="T297" s="286"/>
      <c r="U297" s="283">
        <f>U296</f>
        <v>16.87</v>
      </c>
      <c r="V297" s="284">
        <f t="shared" si="163"/>
        <v>200618.04</v>
      </c>
      <c r="W297" s="287">
        <f t="shared" si="164"/>
        <v>365858.04</v>
      </c>
      <c r="X297" s="2"/>
      <c r="Y297" s="150" t="s">
        <v>82</v>
      </c>
      <c r="Z297" s="151">
        <f t="shared" si="174"/>
        <v>150</v>
      </c>
      <c r="AA297" s="126">
        <f t="shared" si="175"/>
        <v>1296</v>
      </c>
      <c r="AB297" s="152">
        <f t="shared" si="176"/>
        <v>100</v>
      </c>
      <c r="AC297" s="99">
        <f t="shared" si="165"/>
        <v>165240</v>
      </c>
      <c r="AD297" s="153" t="s">
        <v>9</v>
      </c>
      <c r="AE297" s="154">
        <v>11892</v>
      </c>
      <c r="AF297" s="154"/>
      <c r="AG297" s="126">
        <f>AG296</f>
        <v>16.87</v>
      </c>
      <c r="AH297" s="99">
        <f t="shared" si="166"/>
        <v>200618.04</v>
      </c>
      <c r="AI297" s="155">
        <f t="shared" si="167"/>
        <v>365858.04</v>
      </c>
    </row>
    <row r="298" spans="1:35" ht="30" customHeight="1" thickBot="1" x14ac:dyDescent="0.2">
      <c r="A298" s="90" t="s">
        <v>41</v>
      </c>
      <c r="B298" s="91"/>
      <c r="C298" s="91"/>
      <c r="D298" s="91"/>
      <c r="E298" s="92">
        <f>SUM(E286:E297)</f>
        <v>3073464</v>
      </c>
      <c r="F298" s="93"/>
      <c r="G298" s="94">
        <f>SUM(G286:G297)</f>
        <v>154318</v>
      </c>
      <c r="H298" s="94"/>
      <c r="I298" s="91"/>
      <c r="J298" s="92">
        <f>SUM(J286:J297)</f>
        <v>1868937.2600000002</v>
      </c>
      <c r="K298" s="95">
        <f>SUM(K286:K297)</f>
        <v>4942401.2600000007</v>
      </c>
      <c r="L298" s="89" t="s">
        <v>113</v>
      </c>
      <c r="M298" s="288" t="s">
        <v>41</v>
      </c>
      <c r="N298" s="289"/>
      <c r="O298" s="289"/>
      <c r="P298" s="289"/>
      <c r="Q298" s="290">
        <f>SUM(Q286:Q297)</f>
        <v>1982880</v>
      </c>
      <c r="R298" s="291"/>
      <c r="S298" s="292">
        <f>SUM(S286:S297)</f>
        <v>154318</v>
      </c>
      <c r="T298" s="292"/>
      <c r="U298" s="289"/>
      <c r="V298" s="290">
        <f>SUM(V286:V297)</f>
        <v>2661365.86</v>
      </c>
      <c r="W298" s="293">
        <f>SUM(W286:W297)</f>
        <v>4644245.8600000003</v>
      </c>
      <c r="X298" s="89" t="s">
        <v>113</v>
      </c>
      <c r="Y298" s="164" t="s">
        <v>41</v>
      </c>
      <c r="Z298" s="157"/>
      <c r="AA298" s="157"/>
      <c r="AB298" s="157"/>
      <c r="AC298" s="158">
        <f>SUM(AC286:AC297)</f>
        <v>1982880</v>
      </c>
      <c r="AD298" s="159"/>
      <c r="AE298" s="160">
        <f>SUM(AE286:AE297)</f>
        <v>154318</v>
      </c>
      <c r="AF298" s="160"/>
      <c r="AG298" s="157"/>
      <c r="AH298" s="158">
        <f>SUM(AH286:AH297)</f>
        <v>2661365.86</v>
      </c>
      <c r="AI298" s="161">
        <f>SUM(AI286:AI297)</f>
        <v>4644245.8600000003</v>
      </c>
    </row>
    <row r="299" spans="1:35" ht="15" customHeight="1" x14ac:dyDescent="0.15">
      <c r="B299" s="4"/>
      <c r="C299" s="4"/>
      <c r="D299" s="4"/>
      <c r="E299" s="4"/>
      <c r="F299" s="4"/>
      <c r="G299" s="4"/>
      <c r="H299" s="4"/>
      <c r="I299" s="4"/>
      <c r="J299" s="4"/>
      <c r="K299" s="4"/>
      <c r="L299" s="89"/>
      <c r="M299" s="258"/>
      <c r="N299" s="294"/>
      <c r="O299" s="294"/>
      <c r="P299" s="294"/>
      <c r="Q299" s="294"/>
      <c r="R299" s="294"/>
      <c r="S299" s="294"/>
      <c r="T299" s="294"/>
      <c r="U299" s="294"/>
      <c r="V299" s="294"/>
      <c r="W299" s="294"/>
      <c r="X299" s="89"/>
      <c r="Z299" s="162"/>
      <c r="AA299" s="162"/>
      <c r="AB299" s="162"/>
      <c r="AC299" s="162"/>
      <c r="AD299" s="162"/>
      <c r="AE299" s="162"/>
      <c r="AF299" s="162"/>
      <c r="AG299" s="162"/>
      <c r="AH299" s="162"/>
      <c r="AI299" s="162"/>
    </row>
    <row r="300" spans="1:35" x14ac:dyDescent="0.15">
      <c r="A300" s="211" t="s">
        <v>153</v>
      </c>
      <c r="B300" s="212">
        <f>B275+1</f>
        <v>11</v>
      </c>
      <c r="C300" s="213"/>
      <c r="D300" s="213"/>
      <c r="E300" s="213"/>
      <c r="F300" s="213"/>
      <c r="G300" s="213"/>
      <c r="H300" s="213"/>
      <c r="I300" s="213"/>
      <c r="J300" s="213"/>
      <c r="K300" s="692" t="str">
        <f>IF(K323-W323&lt;=0,"現状のまま","メニュー変更")</f>
        <v>現状のまま</v>
      </c>
      <c r="L300" s="2"/>
      <c r="M300" s="47" t="s">
        <v>153</v>
      </c>
      <c r="N300" s="62">
        <f>N275+1</f>
        <v>11</v>
      </c>
      <c r="X300" s="2"/>
      <c r="Y300" s="47" t="s">
        <v>153</v>
      </c>
      <c r="Z300" s="62" t="e">
        <f>Z275+1</f>
        <v>#REF!</v>
      </c>
    </row>
    <row r="301" spans="1:35" x14ac:dyDescent="0.15">
      <c r="A301" s="214"/>
      <c r="B301" s="213"/>
      <c r="C301" s="213"/>
      <c r="D301" s="213"/>
      <c r="E301" s="213"/>
      <c r="F301" s="213"/>
      <c r="G301" s="213"/>
      <c r="H301" s="213"/>
      <c r="I301" s="213"/>
      <c r="J301" s="213"/>
      <c r="K301" s="692"/>
      <c r="L301" s="2"/>
      <c r="X301" s="2"/>
    </row>
    <row r="302" spans="1:35" x14ac:dyDescent="0.15">
      <c r="A302" s="214"/>
      <c r="B302" s="213"/>
      <c r="C302" s="213"/>
      <c r="D302" s="213"/>
      <c r="E302" s="213"/>
      <c r="F302" s="213"/>
      <c r="G302" s="213"/>
      <c r="H302" s="213"/>
      <c r="I302" s="213"/>
      <c r="J302" s="213"/>
      <c r="K302" s="692"/>
      <c r="L302" s="2"/>
      <c r="X302" s="2"/>
    </row>
    <row r="303" spans="1:35" ht="17.25" x14ac:dyDescent="0.15">
      <c r="A303" s="694" t="str">
        <f>$A$5</f>
        <v>平成29年度小郡市役所庁舎外25施設電力需給</v>
      </c>
      <c r="B303" s="694"/>
      <c r="C303" s="694"/>
      <c r="D303" s="694"/>
      <c r="E303" s="694"/>
      <c r="F303" s="694"/>
      <c r="G303" s="694"/>
      <c r="H303" s="694"/>
      <c r="I303" s="694"/>
      <c r="J303" s="694"/>
      <c r="K303" s="694"/>
      <c r="L303" s="2"/>
      <c r="M303" s="553" t="str">
        <f>$A$5</f>
        <v>平成29年度小郡市役所庁舎外25施設電力需給</v>
      </c>
      <c r="N303" s="553"/>
      <c r="O303" s="553"/>
      <c r="P303" s="553"/>
      <c r="Q303" s="553"/>
      <c r="R303" s="553"/>
      <c r="S303" s="553"/>
      <c r="T303" s="553"/>
      <c r="U303" s="553"/>
      <c r="V303" s="553"/>
      <c r="W303" s="553"/>
      <c r="X303" s="2"/>
      <c r="Y303" s="553" t="str">
        <f>$A$5</f>
        <v>平成29年度小郡市役所庁舎外25施設電力需給</v>
      </c>
      <c r="Z303" s="553"/>
      <c r="AA303" s="553"/>
      <c r="AB303" s="553"/>
      <c r="AC303" s="553"/>
      <c r="AD303" s="553"/>
      <c r="AE303" s="553"/>
      <c r="AF303" s="553"/>
      <c r="AG303" s="553"/>
      <c r="AH303" s="553"/>
      <c r="AI303" s="553"/>
    </row>
    <row r="304" spans="1:35" x14ac:dyDescent="0.15">
      <c r="A304" s="689" t="str">
        <f>$A$6</f>
        <v>（平成３０年１月～平成３０年１２月期間中の予定金額）</v>
      </c>
      <c r="B304" s="689"/>
      <c r="C304" s="689"/>
      <c r="D304" s="689"/>
      <c r="E304" s="689"/>
      <c r="F304" s="689"/>
      <c r="G304" s="689"/>
      <c r="H304" s="689"/>
      <c r="I304" s="689"/>
      <c r="J304" s="689"/>
      <c r="K304" s="689"/>
      <c r="L304" s="2"/>
      <c r="M304" s="555" t="str">
        <f>$A$6</f>
        <v>（平成３０年１月～平成３０年１２月期間中の予定金額）</v>
      </c>
      <c r="N304" s="555"/>
      <c r="O304" s="555"/>
      <c r="P304" s="555"/>
      <c r="Q304" s="555"/>
      <c r="R304" s="555"/>
      <c r="S304" s="555"/>
      <c r="T304" s="555"/>
      <c r="U304" s="555"/>
      <c r="V304" s="555"/>
      <c r="W304" s="555"/>
      <c r="X304" s="2"/>
      <c r="Y304" s="555" t="str">
        <f>$A$6</f>
        <v>（平成３０年１月～平成３０年１２月期間中の予定金額）</v>
      </c>
      <c r="Z304" s="555"/>
      <c r="AA304" s="555"/>
      <c r="AB304" s="555"/>
      <c r="AC304" s="555"/>
      <c r="AD304" s="555"/>
      <c r="AE304" s="555"/>
      <c r="AF304" s="555"/>
      <c r="AG304" s="555"/>
      <c r="AH304" s="555"/>
      <c r="AI304" s="555"/>
    </row>
    <row r="305" spans="1:35" ht="14.25" thickBot="1" x14ac:dyDescent="0.2">
      <c r="A305" s="215" t="s">
        <v>135</v>
      </c>
      <c r="B305" s="215"/>
      <c r="C305" s="213"/>
      <c r="D305" s="213"/>
      <c r="E305" s="213"/>
      <c r="F305" s="213"/>
      <c r="G305" s="213"/>
      <c r="H305" s="213"/>
      <c r="I305" s="213"/>
      <c r="J305" s="213"/>
      <c r="K305" s="211" t="s">
        <v>84</v>
      </c>
      <c r="L305" s="2"/>
      <c r="M305" s="134" t="s">
        <v>135</v>
      </c>
      <c r="N305" s="134"/>
      <c r="W305" s="47" t="s">
        <v>70</v>
      </c>
      <c r="X305" s="2"/>
      <c r="Y305" s="134" t="s">
        <v>135</v>
      </c>
      <c r="Z305" s="134"/>
      <c r="AI305" s="47" t="s">
        <v>70</v>
      </c>
    </row>
    <row r="306" spans="1:35" ht="18" customHeight="1" thickBot="1" x14ac:dyDescent="0.2">
      <c r="A306" s="695" t="s">
        <v>33</v>
      </c>
      <c r="B306" s="683" t="s">
        <v>24</v>
      </c>
      <c r="C306" s="684"/>
      <c r="D306" s="684"/>
      <c r="E306" s="685"/>
      <c r="F306" s="686" t="s">
        <v>34</v>
      </c>
      <c r="G306" s="687"/>
      <c r="H306" s="687"/>
      <c r="I306" s="687"/>
      <c r="J306" s="688"/>
      <c r="K306" s="667" t="s">
        <v>35</v>
      </c>
      <c r="L306" s="2"/>
      <c r="M306" s="567" t="s">
        <v>33</v>
      </c>
      <c r="N306" s="570" t="s">
        <v>24</v>
      </c>
      <c r="O306" s="571"/>
      <c r="P306" s="571"/>
      <c r="Q306" s="572"/>
      <c r="R306" s="573" t="s">
        <v>34</v>
      </c>
      <c r="S306" s="574"/>
      <c r="T306" s="574"/>
      <c r="U306" s="574"/>
      <c r="V306" s="575"/>
      <c r="W306" s="544" t="s">
        <v>35</v>
      </c>
      <c r="X306" s="2"/>
      <c r="Y306" s="567" t="s">
        <v>33</v>
      </c>
      <c r="Z306" s="570" t="s">
        <v>24</v>
      </c>
      <c r="AA306" s="571"/>
      <c r="AB306" s="571"/>
      <c r="AC306" s="572"/>
      <c r="AD306" s="573" t="s">
        <v>34</v>
      </c>
      <c r="AE306" s="574"/>
      <c r="AF306" s="574"/>
      <c r="AG306" s="574"/>
      <c r="AH306" s="575"/>
      <c r="AI306" s="544" t="s">
        <v>35</v>
      </c>
    </row>
    <row r="307" spans="1:35" ht="13.5" customHeight="1" x14ac:dyDescent="0.15">
      <c r="A307" s="696"/>
      <c r="B307" s="669" t="s">
        <v>28</v>
      </c>
      <c r="C307" s="667" t="s">
        <v>29</v>
      </c>
      <c r="D307" s="669" t="s">
        <v>25</v>
      </c>
      <c r="E307" s="678" t="s">
        <v>31</v>
      </c>
      <c r="F307" s="679" t="s">
        <v>36</v>
      </c>
      <c r="G307" s="680"/>
      <c r="H307" s="216"/>
      <c r="I307" s="667" t="s">
        <v>37</v>
      </c>
      <c r="J307" s="669" t="s">
        <v>38</v>
      </c>
      <c r="K307" s="668"/>
      <c r="L307" s="2"/>
      <c r="M307" s="568"/>
      <c r="N307" s="546" t="s">
        <v>28</v>
      </c>
      <c r="O307" s="544" t="s">
        <v>29</v>
      </c>
      <c r="P307" s="546" t="s">
        <v>25</v>
      </c>
      <c r="Q307" s="582" t="s">
        <v>31</v>
      </c>
      <c r="R307" s="540" t="s">
        <v>36</v>
      </c>
      <c r="S307" s="541"/>
      <c r="T307" s="135"/>
      <c r="U307" s="544" t="s">
        <v>37</v>
      </c>
      <c r="V307" s="546" t="s">
        <v>38</v>
      </c>
      <c r="W307" s="545"/>
      <c r="X307" s="2"/>
      <c r="Y307" s="568"/>
      <c r="Z307" s="546" t="s">
        <v>28</v>
      </c>
      <c r="AA307" s="544" t="s">
        <v>29</v>
      </c>
      <c r="AB307" s="546" t="s">
        <v>25</v>
      </c>
      <c r="AC307" s="582" t="s">
        <v>31</v>
      </c>
      <c r="AD307" s="540" t="s">
        <v>36</v>
      </c>
      <c r="AE307" s="541"/>
      <c r="AF307" s="135"/>
      <c r="AG307" s="544" t="s">
        <v>37</v>
      </c>
      <c r="AH307" s="546" t="s">
        <v>38</v>
      </c>
      <c r="AI307" s="545"/>
    </row>
    <row r="308" spans="1:35" x14ac:dyDescent="0.15">
      <c r="A308" s="696"/>
      <c r="B308" s="669"/>
      <c r="C308" s="668"/>
      <c r="D308" s="669"/>
      <c r="E308" s="669"/>
      <c r="F308" s="681"/>
      <c r="G308" s="682"/>
      <c r="H308" s="217"/>
      <c r="I308" s="668"/>
      <c r="J308" s="669"/>
      <c r="K308" s="668"/>
      <c r="L308" s="2"/>
      <c r="M308" s="568"/>
      <c r="N308" s="546"/>
      <c r="O308" s="545"/>
      <c r="P308" s="546"/>
      <c r="Q308" s="546"/>
      <c r="R308" s="542"/>
      <c r="S308" s="543"/>
      <c r="T308" s="136"/>
      <c r="U308" s="545"/>
      <c r="V308" s="546"/>
      <c r="W308" s="545"/>
      <c r="X308" s="2"/>
      <c r="Y308" s="568"/>
      <c r="Z308" s="546"/>
      <c r="AA308" s="545"/>
      <c r="AB308" s="546"/>
      <c r="AC308" s="546"/>
      <c r="AD308" s="542"/>
      <c r="AE308" s="543"/>
      <c r="AF308" s="136"/>
      <c r="AG308" s="545"/>
      <c r="AH308" s="546"/>
      <c r="AI308" s="545"/>
    </row>
    <row r="309" spans="1:35" ht="23.25" customHeight="1" x14ac:dyDescent="0.15">
      <c r="A309" s="696"/>
      <c r="B309" s="218" t="s">
        <v>13</v>
      </c>
      <c r="C309" s="219" t="s">
        <v>30</v>
      </c>
      <c r="D309" s="218" t="s">
        <v>14</v>
      </c>
      <c r="E309" s="218" t="s">
        <v>40</v>
      </c>
      <c r="F309" s="665" t="s">
        <v>15</v>
      </c>
      <c r="G309" s="666"/>
      <c r="H309" s="220"/>
      <c r="I309" s="219" t="s">
        <v>30</v>
      </c>
      <c r="J309" s="218" t="s">
        <v>40</v>
      </c>
      <c r="K309" s="218" t="s">
        <v>40</v>
      </c>
      <c r="L309" s="2"/>
      <c r="M309" s="568"/>
      <c r="N309" s="137" t="s">
        <v>152</v>
      </c>
      <c r="O309" s="138" t="s">
        <v>30</v>
      </c>
      <c r="P309" s="137" t="s">
        <v>14</v>
      </c>
      <c r="Q309" s="137" t="s">
        <v>40</v>
      </c>
      <c r="R309" s="549" t="s">
        <v>15</v>
      </c>
      <c r="S309" s="550"/>
      <c r="T309" s="139"/>
      <c r="U309" s="138" t="s">
        <v>30</v>
      </c>
      <c r="V309" s="137" t="s">
        <v>40</v>
      </c>
      <c r="W309" s="137" t="s">
        <v>40</v>
      </c>
      <c r="X309" s="2"/>
      <c r="Y309" s="568"/>
      <c r="Z309" s="137" t="s">
        <v>152</v>
      </c>
      <c r="AA309" s="138" t="s">
        <v>30</v>
      </c>
      <c r="AB309" s="137" t="s">
        <v>14</v>
      </c>
      <c r="AC309" s="137" t="s">
        <v>40</v>
      </c>
      <c r="AD309" s="549" t="s">
        <v>15</v>
      </c>
      <c r="AE309" s="550"/>
      <c r="AF309" s="139"/>
      <c r="AG309" s="138" t="s">
        <v>30</v>
      </c>
      <c r="AH309" s="137" t="s">
        <v>40</v>
      </c>
      <c r="AI309" s="137" t="s">
        <v>40</v>
      </c>
    </row>
    <row r="310" spans="1:35" ht="15.75" customHeight="1" thickBot="1" x14ac:dyDescent="0.2">
      <c r="A310" s="697"/>
      <c r="B310" s="221" t="s">
        <v>16</v>
      </c>
      <c r="C310" s="221" t="s">
        <v>17</v>
      </c>
      <c r="D310" s="221" t="s">
        <v>18</v>
      </c>
      <c r="E310" s="221" t="s">
        <v>19</v>
      </c>
      <c r="F310" s="222"/>
      <c r="G310" s="223" t="s">
        <v>20</v>
      </c>
      <c r="H310" s="223"/>
      <c r="I310" s="221" t="s">
        <v>21</v>
      </c>
      <c r="J310" s="221" t="s">
        <v>22</v>
      </c>
      <c r="K310" s="223" t="s">
        <v>23</v>
      </c>
      <c r="L310" s="2"/>
      <c r="M310" s="569"/>
      <c r="N310" s="122" t="s">
        <v>16</v>
      </c>
      <c r="O310" s="122" t="s">
        <v>17</v>
      </c>
      <c r="P310" s="122" t="s">
        <v>18</v>
      </c>
      <c r="Q310" s="122" t="s">
        <v>19</v>
      </c>
      <c r="R310" s="140"/>
      <c r="S310" s="141" t="s">
        <v>20</v>
      </c>
      <c r="T310" s="141"/>
      <c r="U310" s="122" t="s">
        <v>21</v>
      </c>
      <c r="V310" s="122" t="s">
        <v>22</v>
      </c>
      <c r="W310" s="141" t="s">
        <v>23</v>
      </c>
      <c r="X310" s="2"/>
      <c r="Y310" s="569"/>
      <c r="Z310" s="122" t="s">
        <v>16</v>
      </c>
      <c r="AA310" s="122" t="s">
        <v>17</v>
      </c>
      <c r="AB310" s="122" t="s">
        <v>18</v>
      </c>
      <c r="AC310" s="122" t="s">
        <v>19</v>
      </c>
      <c r="AD310" s="140"/>
      <c r="AE310" s="141" t="s">
        <v>20</v>
      </c>
      <c r="AF310" s="141"/>
      <c r="AG310" s="122" t="s">
        <v>21</v>
      </c>
      <c r="AH310" s="122" t="s">
        <v>22</v>
      </c>
      <c r="AI310" s="141" t="s">
        <v>23</v>
      </c>
    </row>
    <row r="311" spans="1:35" ht="30" customHeight="1" x14ac:dyDescent="0.15">
      <c r="A311" s="224" t="s">
        <v>83</v>
      </c>
      <c r="B311" s="225">
        <v>78</v>
      </c>
      <c r="C311" s="226">
        <v>1296</v>
      </c>
      <c r="D311" s="225">
        <v>100</v>
      </c>
      <c r="E311" s="228">
        <f t="shared" ref="E311:E322" si="177">ROUNDDOWN(B311*C311*((185-D311)/100),2)</f>
        <v>85924.800000000003</v>
      </c>
      <c r="F311" s="229" t="s">
        <v>85</v>
      </c>
      <c r="G311" s="230">
        <v>7428</v>
      </c>
      <c r="H311" s="230"/>
      <c r="I311" s="226">
        <v>16.87</v>
      </c>
      <c r="J311" s="228">
        <f t="shared" ref="J311:J322" si="178">ROUNDDOWN(G311*I311,2)</f>
        <v>125310.36</v>
      </c>
      <c r="K311" s="231">
        <f t="shared" ref="K311:K322" si="179">ROUNDDOWN(J311+E311,2)</f>
        <v>211235.16</v>
      </c>
      <c r="L311" s="2"/>
      <c r="M311" s="142" t="s">
        <v>83</v>
      </c>
      <c r="N311" s="143">
        <v>78</v>
      </c>
      <c r="O311" s="123">
        <v>2008.8</v>
      </c>
      <c r="P311" s="163">
        <v>100</v>
      </c>
      <c r="Q311" s="98">
        <f t="shared" ref="Q311:Q322" si="180">ROUNDDOWN(N311*O311*((185-P311)/100),2)</f>
        <v>133183.44</v>
      </c>
      <c r="R311" s="145" t="s">
        <v>85</v>
      </c>
      <c r="S311" s="146">
        <v>7428</v>
      </c>
      <c r="T311" s="146"/>
      <c r="U311" s="124">
        <v>11.87</v>
      </c>
      <c r="V311" s="98">
        <f t="shared" ref="V311:V322" si="181">ROUNDDOWN(S311*U311,2)</f>
        <v>88170.36</v>
      </c>
      <c r="W311" s="147">
        <f t="shared" ref="W311:W322" si="182">ROUNDDOWN(V311+Q311,2)</f>
        <v>221353.8</v>
      </c>
      <c r="X311" s="2"/>
      <c r="Y311" s="142" t="s">
        <v>83</v>
      </c>
      <c r="Z311" s="143">
        <v>78</v>
      </c>
      <c r="AA311" s="123">
        <v>2008.8</v>
      </c>
      <c r="AB311" s="163">
        <v>100</v>
      </c>
      <c r="AC311" s="98">
        <f t="shared" ref="AC311:AC322" si="183">ROUNDDOWN(Z311*AA311*((185-AB311)/100),2)</f>
        <v>133183.44</v>
      </c>
      <c r="AD311" s="145" t="s">
        <v>85</v>
      </c>
      <c r="AE311" s="146">
        <v>7428</v>
      </c>
      <c r="AF311" s="146"/>
      <c r="AG311" s="124">
        <v>11.87</v>
      </c>
      <c r="AH311" s="98">
        <f t="shared" ref="AH311:AH322" si="184">ROUNDDOWN(AE311*AG311,2)</f>
        <v>88170.36</v>
      </c>
      <c r="AI311" s="147">
        <f t="shared" ref="AI311:AI322" si="185">ROUNDDOWN(AH311+AC311,2)</f>
        <v>221353.8</v>
      </c>
    </row>
    <row r="312" spans="1:35" ht="30" customHeight="1" x14ac:dyDescent="0.15">
      <c r="A312" s="232" t="s">
        <v>72</v>
      </c>
      <c r="B312" s="233">
        <f t="shared" ref="B312:B322" si="186">B311</f>
        <v>78</v>
      </c>
      <c r="C312" s="234">
        <f t="shared" ref="C312:C322" si="187">C311</f>
        <v>1296</v>
      </c>
      <c r="D312" s="235">
        <f t="shared" ref="D312:D322" si="188">D311</f>
        <v>100</v>
      </c>
      <c r="E312" s="228">
        <f t="shared" si="177"/>
        <v>85924.800000000003</v>
      </c>
      <c r="F312" s="229" t="s">
        <v>112</v>
      </c>
      <c r="G312" s="230">
        <v>7332</v>
      </c>
      <c r="H312" s="230"/>
      <c r="I312" s="234">
        <f>I311</f>
        <v>16.87</v>
      </c>
      <c r="J312" s="228">
        <f t="shared" si="178"/>
        <v>123690.84</v>
      </c>
      <c r="K312" s="231">
        <f t="shared" si="179"/>
        <v>209615.64</v>
      </c>
      <c r="L312" s="2"/>
      <c r="M312" s="148" t="s">
        <v>72</v>
      </c>
      <c r="N312" s="149">
        <f t="shared" ref="N312:N322" si="189">N311</f>
        <v>78</v>
      </c>
      <c r="O312" s="125">
        <f t="shared" ref="O312:O322" si="190">O311</f>
        <v>2008.8</v>
      </c>
      <c r="P312" s="106">
        <f t="shared" ref="P312:P322" si="191">P311</f>
        <v>100</v>
      </c>
      <c r="Q312" s="98">
        <f t="shared" si="180"/>
        <v>133183.44</v>
      </c>
      <c r="R312" s="145" t="s">
        <v>112</v>
      </c>
      <c r="S312" s="146">
        <v>7332</v>
      </c>
      <c r="T312" s="146"/>
      <c r="U312" s="125">
        <f>U311</f>
        <v>11.87</v>
      </c>
      <c r="V312" s="98">
        <f t="shared" si="181"/>
        <v>87030.84</v>
      </c>
      <c r="W312" s="147">
        <f t="shared" si="182"/>
        <v>220214.28</v>
      </c>
      <c r="X312" s="2"/>
      <c r="Y312" s="148" t="s">
        <v>72</v>
      </c>
      <c r="Z312" s="149">
        <f t="shared" ref="Z312:Z322" si="192">Z311</f>
        <v>78</v>
      </c>
      <c r="AA312" s="125">
        <f t="shared" ref="AA312:AA322" si="193">AA311</f>
        <v>2008.8</v>
      </c>
      <c r="AB312" s="106">
        <f t="shared" ref="AB312:AB322" si="194">AB311</f>
        <v>100</v>
      </c>
      <c r="AC312" s="98">
        <f t="shared" si="183"/>
        <v>133183.44</v>
      </c>
      <c r="AD312" s="145" t="s">
        <v>112</v>
      </c>
      <c r="AE312" s="146">
        <v>7332</v>
      </c>
      <c r="AF312" s="146"/>
      <c r="AG312" s="125">
        <f>AG311</f>
        <v>11.87</v>
      </c>
      <c r="AH312" s="98">
        <f t="shared" si="184"/>
        <v>87030.84</v>
      </c>
      <c r="AI312" s="147">
        <f t="shared" si="185"/>
        <v>220214.28</v>
      </c>
    </row>
    <row r="313" spans="1:35" ht="30" customHeight="1" x14ac:dyDescent="0.15">
      <c r="A313" s="232" t="s">
        <v>73</v>
      </c>
      <c r="B313" s="233">
        <f t="shared" si="186"/>
        <v>78</v>
      </c>
      <c r="C313" s="234">
        <f t="shared" si="187"/>
        <v>1296</v>
      </c>
      <c r="D313" s="235">
        <f t="shared" si="188"/>
        <v>100</v>
      </c>
      <c r="E313" s="228">
        <f t="shared" si="177"/>
        <v>85924.800000000003</v>
      </c>
      <c r="F313" s="229" t="s">
        <v>9</v>
      </c>
      <c r="G313" s="230">
        <v>6900</v>
      </c>
      <c r="H313" s="230"/>
      <c r="I313" s="234">
        <f>I312</f>
        <v>16.87</v>
      </c>
      <c r="J313" s="228">
        <f t="shared" si="178"/>
        <v>116403</v>
      </c>
      <c r="K313" s="231">
        <f t="shared" si="179"/>
        <v>202327.8</v>
      </c>
      <c r="L313" s="2"/>
      <c r="M313" s="148" t="s">
        <v>73</v>
      </c>
      <c r="N313" s="149">
        <f t="shared" si="189"/>
        <v>78</v>
      </c>
      <c r="O313" s="125">
        <f t="shared" si="190"/>
        <v>2008.8</v>
      </c>
      <c r="P313" s="106">
        <f t="shared" si="191"/>
        <v>100</v>
      </c>
      <c r="Q313" s="98">
        <f t="shared" si="180"/>
        <v>133183.44</v>
      </c>
      <c r="R313" s="145" t="s">
        <v>9</v>
      </c>
      <c r="S313" s="146">
        <v>6900</v>
      </c>
      <c r="T313" s="146"/>
      <c r="U313" s="125">
        <f>U312</f>
        <v>11.87</v>
      </c>
      <c r="V313" s="98">
        <f t="shared" si="181"/>
        <v>81903</v>
      </c>
      <c r="W313" s="147">
        <f t="shared" si="182"/>
        <v>215086.44</v>
      </c>
      <c r="X313" s="2"/>
      <c r="Y313" s="148" t="s">
        <v>73</v>
      </c>
      <c r="Z313" s="149">
        <f t="shared" si="192"/>
        <v>78</v>
      </c>
      <c r="AA313" s="125">
        <f t="shared" si="193"/>
        <v>2008.8</v>
      </c>
      <c r="AB313" s="106">
        <f t="shared" si="194"/>
        <v>100</v>
      </c>
      <c r="AC313" s="98">
        <f t="shared" si="183"/>
        <v>133183.44</v>
      </c>
      <c r="AD313" s="145" t="s">
        <v>9</v>
      </c>
      <c r="AE313" s="146">
        <v>6900</v>
      </c>
      <c r="AF313" s="146"/>
      <c r="AG313" s="125">
        <f>AG312</f>
        <v>11.87</v>
      </c>
      <c r="AH313" s="98">
        <f t="shared" si="184"/>
        <v>81903</v>
      </c>
      <c r="AI313" s="147">
        <f t="shared" si="185"/>
        <v>215086.44</v>
      </c>
    </row>
    <row r="314" spans="1:35" ht="30" customHeight="1" x14ac:dyDescent="0.15">
      <c r="A314" s="232" t="s">
        <v>74</v>
      </c>
      <c r="B314" s="233">
        <f t="shared" si="186"/>
        <v>78</v>
      </c>
      <c r="C314" s="234">
        <f t="shared" si="187"/>
        <v>1296</v>
      </c>
      <c r="D314" s="235">
        <f t="shared" si="188"/>
        <v>100</v>
      </c>
      <c r="E314" s="228">
        <f t="shared" si="177"/>
        <v>85924.800000000003</v>
      </c>
      <c r="F314" s="229" t="s">
        <v>9</v>
      </c>
      <c r="G314" s="230">
        <v>5616</v>
      </c>
      <c r="H314" s="230"/>
      <c r="I314" s="234">
        <f>I313</f>
        <v>16.87</v>
      </c>
      <c r="J314" s="228">
        <f t="shared" si="178"/>
        <v>94741.92</v>
      </c>
      <c r="K314" s="231">
        <f t="shared" si="179"/>
        <v>180666.72</v>
      </c>
      <c r="L314" s="2"/>
      <c r="M314" s="148" t="s">
        <v>74</v>
      </c>
      <c r="N314" s="149">
        <f t="shared" si="189"/>
        <v>78</v>
      </c>
      <c r="O314" s="125">
        <f t="shared" si="190"/>
        <v>2008.8</v>
      </c>
      <c r="P314" s="106">
        <f t="shared" si="191"/>
        <v>100</v>
      </c>
      <c r="Q314" s="98">
        <f t="shared" si="180"/>
        <v>133183.44</v>
      </c>
      <c r="R314" s="145" t="s">
        <v>9</v>
      </c>
      <c r="S314" s="146">
        <v>5616</v>
      </c>
      <c r="T314" s="146"/>
      <c r="U314" s="125">
        <f>U313</f>
        <v>11.87</v>
      </c>
      <c r="V314" s="98">
        <f t="shared" si="181"/>
        <v>66661.919999999998</v>
      </c>
      <c r="W314" s="147">
        <f t="shared" si="182"/>
        <v>199845.36</v>
      </c>
      <c r="X314" s="2"/>
      <c r="Y314" s="148" t="s">
        <v>74</v>
      </c>
      <c r="Z314" s="149">
        <f t="shared" si="192"/>
        <v>78</v>
      </c>
      <c r="AA314" s="125">
        <f t="shared" si="193"/>
        <v>2008.8</v>
      </c>
      <c r="AB314" s="106">
        <f t="shared" si="194"/>
        <v>100</v>
      </c>
      <c r="AC314" s="98">
        <f t="shared" si="183"/>
        <v>133183.44</v>
      </c>
      <c r="AD314" s="145" t="s">
        <v>9</v>
      </c>
      <c r="AE314" s="146">
        <v>5616</v>
      </c>
      <c r="AF314" s="146"/>
      <c r="AG314" s="125">
        <f>AG313</f>
        <v>11.87</v>
      </c>
      <c r="AH314" s="98">
        <f t="shared" si="184"/>
        <v>66661.919999999998</v>
      </c>
      <c r="AI314" s="147">
        <f t="shared" si="185"/>
        <v>199845.36</v>
      </c>
    </row>
    <row r="315" spans="1:35" ht="30" customHeight="1" x14ac:dyDescent="0.15">
      <c r="A315" s="232" t="s">
        <v>75</v>
      </c>
      <c r="B315" s="233">
        <f t="shared" si="186"/>
        <v>78</v>
      </c>
      <c r="C315" s="234">
        <f t="shared" si="187"/>
        <v>1296</v>
      </c>
      <c r="D315" s="235">
        <f t="shared" si="188"/>
        <v>100</v>
      </c>
      <c r="E315" s="228">
        <f t="shared" si="177"/>
        <v>85924.800000000003</v>
      </c>
      <c r="F315" s="229" t="s">
        <v>9</v>
      </c>
      <c r="G315" s="230">
        <v>5664</v>
      </c>
      <c r="H315" s="230"/>
      <c r="I315" s="234">
        <f>I314</f>
        <v>16.87</v>
      </c>
      <c r="J315" s="228">
        <f t="shared" si="178"/>
        <v>95551.679999999993</v>
      </c>
      <c r="K315" s="231">
        <f t="shared" si="179"/>
        <v>181476.48000000001</v>
      </c>
      <c r="L315" s="2"/>
      <c r="M315" s="148" t="s">
        <v>75</v>
      </c>
      <c r="N315" s="149">
        <f t="shared" si="189"/>
        <v>78</v>
      </c>
      <c r="O315" s="125">
        <f t="shared" si="190"/>
        <v>2008.8</v>
      </c>
      <c r="P315" s="106">
        <f t="shared" si="191"/>
        <v>100</v>
      </c>
      <c r="Q315" s="98">
        <f t="shared" si="180"/>
        <v>133183.44</v>
      </c>
      <c r="R315" s="145" t="s">
        <v>9</v>
      </c>
      <c r="S315" s="146">
        <v>5664</v>
      </c>
      <c r="T315" s="146"/>
      <c r="U315" s="125">
        <f>U314</f>
        <v>11.87</v>
      </c>
      <c r="V315" s="98">
        <f t="shared" si="181"/>
        <v>67231.679999999993</v>
      </c>
      <c r="W315" s="147">
        <f t="shared" si="182"/>
        <v>200415.12</v>
      </c>
      <c r="X315" s="2"/>
      <c r="Y315" s="148" t="s">
        <v>75</v>
      </c>
      <c r="Z315" s="149">
        <f t="shared" si="192"/>
        <v>78</v>
      </c>
      <c r="AA315" s="125">
        <f t="shared" si="193"/>
        <v>2008.8</v>
      </c>
      <c r="AB315" s="106">
        <f t="shared" si="194"/>
        <v>100</v>
      </c>
      <c r="AC315" s="98">
        <f t="shared" si="183"/>
        <v>133183.44</v>
      </c>
      <c r="AD315" s="145" t="s">
        <v>9</v>
      </c>
      <c r="AE315" s="146">
        <v>5664</v>
      </c>
      <c r="AF315" s="146"/>
      <c r="AG315" s="125">
        <f>AG314</f>
        <v>11.87</v>
      </c>
      <c r="AH315" s="98">
        <f t="shared" si="184"/>
        <v>67231.679999999993</v>
      </c>
      <c r="AI315" s="147">
        <f t="shared" si="185"/>
        <v>200415.12</v>
      </c>
    </row>
    <row r="316" spans="1:35" ht="30" customHeight="1" x14ac:dyDescent="0.15">
      <c r="A316" s="232" t="s">
        <v>76</v>
      </c>
      <c r="B316" s="233">
        <f t="shared" si="186"/>
        <v>78</v>
      </c>
      <c r="C316" s="234">
        <f t="shared" si="187"/>
        <v>1296</v>
      </c>
      <c r="D316" s="235">
        <f t="shared" si="188"/>
        <v>100</v>
      </c>
      <c r="E316" s="228">
        <f t="shared" si="177"/>
        <v>85924.800000000003</v>
      </c>
      <c r="F316" s="229" t="s">
        <v>9</v>
      </c>
      <c r="G316" s="230">
        <v>6270</v>
      </c>
      <c r="H316" s="230"/>
      <c r="I316" s="234">
        <f>I315</f>
        <v>16.87</v>
      </c>
      <c r="J316" s="228">
        <f t="shared" si="178"/>
        <v>105774.9</v>
      </c>
      <c r="K316" s="231">
        <f t="shared" si="179"/>
        <v>191699.7</v>
      </c>
      <c r="L316" s="2"/>
      <c r="M316" s="148" t="s">
        <v>76</v>
      </c>
      <c r="N316" s="149">
        <f t="shared" si="189"/>
        <v>78</v>
      </c>
      <c r="O316" s="125">
        <f t="shared" si="190"/>
        <v>2008.8</v>
      </c>
      <c r="P316" s="106">
        <f t="shared" si="191"/>
        <v>100</v>
      </c>
      <c r="Q316" s="98">
        <f t="shared" si="180"/>
        <v>133183.44</v>
      </c>
      <c r="R316" s="145" t="s">
        <v>9</v>
      </c>
      <c r="S316" s="146">
        <v>6270</v>
      </c>
      <c r="T316" s="146"/>
      <c r="U316" s="125">
        <f>U315</f>
        <v>11.87</v>
      </c>
      <c r="V316" s="98">
        <f t="shared" si="181"/>
        <v>74424.899999999994</v>
      </c>
      <c r="W316" s="147">
        <f t="shared" si="182"/>
        <v>207608.34</v>
      </c>
      <c r="X316" s="2"/>
      <c r="Y316" s="148" t="s">
        <v>76</v>
      </c>
      <c r="Z316" s="149">
        <f t="shared" si="192"/>
        <v>78</v>
      </c>
      <c r="AA316" s="125">
        <f t="shared" si="193"/>
        <v>2008.8</v>
      </c>
      <c r="AB316" s="106">
        <f t="shared" si="194"/>
        <v>100</v>
      </c>
      <c r="AC316" s="98">
        <f t="shared" si="183"/>
        <v>133183.44</v>
      </c>
      <c r="AD316" s="145" t="s">
        <v>9</v>
      </c>
      <c r="AE316" s="146">
        <v>6270</v>
      </c>
      <c r="AF316" s="146"/>
      <c r="AG316" s="125">
        <f>AG315</f>
        <v>11.87</v>
      </c>
      <c r="AH316" s="98">
        <f t="shared" si="184"/>
        <v>74424.899999999994</v>
      </c>
      <c r="AI316" s="147">
        <f t="shared" si="185"/>
        <v>207608.34</v>
      </c>
    </row>
    <row r="317" spans="1:35" ht="30" customHeight="1" x14ac:dyDescent="0.15">
      <c r="A317" s="232" t="s">
        <v>77</v>
      </c>
      <c r="B317" s="233">
        <f t="shared" si="186"/>
        <v>78</v>
      </c>
      <c r="C317" s="234">
        <f t="shared" si="187"/>
        <v>1296</v>
      </c>
      <c r="D317" s="235">
        <f t="shared" si="188"/>
        <v>100</v>
      </c>
      <c r="E317" s="228">
        <f t="shared" si="177"/>
        <v>85924.800000000003</v>
      </c>
      <c r="F317" s="229" t="s">
        <v>71</v>
      </c>
      <c r="G317" s="230">
        <v>6738</v>
      </c>
      <c r="H317" s="230"/>
      <c r="I317" s="226">
        <v>18.29</v>
      </c>
      <c r="J317" s="228">
        <f t="shared" si="178"/>
        <v>123238.02</v>
      </c>
      <c r="K317" s="231">
        <f t="shared" si="179"/>
        <v>209162.82</v>
      </c>
      <c r="L317" s="2"/>
      <c r="M317" s="148" t="s">
        <v>77</v>
      </c>
      <c r="N317" s="149">
        <f t="shared" si="189"/>
        <v>78</v>
      </c>
      <c r="O317" s="125">
        <f t="shared" si="190"/>
        <v>2008.8</v>
      </c>
      <c r="P317" s="106">
        <f t="shared" si="191"/>
        <v>100</v>
      </c>
      <c r="Q317" s="98">
        <f t="shared" si="180"/>
        <v>133183.44</v>
      </c>
      <c r="R317" s="145" t="s">
        <v>71</v>
      </c>
      <c r="S317" s="146">
        <v>6738</v>
      </c>
      <c r="T317" s="146"/>
      <c r="U317" s="124">
        <v>12.78</v>
      </c>
      <c r="V317" s="98">
        <f t="shared" si="181"/>
        <v>86111.64</v>
      </c>
      <c r="W317" s="147">
        <f t="shared" si="182"/>
        <v>219295.08</v>
      </c>
      <c r="X317" s="2"/>
      <c r="Y317" s="148" t="s">
        <v>77</v>
      </c>
      <c r="Z317" s="149">
        <f t="shared" si="192"/>
        <v>78</v>
      </c>
      <c r="AA317" s="125">
        <f t="shared" si="193"/>
        <v>2008.8</v>
      </c>
      <c r="AB317" s="106">
        <f t="shared" si="194"/>
        <v>100</v>
      </c>
      <c r="AC317" s="98">
        <f t="shared" si="183"/>
        <v>133183.44</v>
      </c>
      <c r="AD317" s="145" t="s">
        <v>71</v>
      </c>
      <c r="AE317" s="146">
        <v>6738</v>
      </c>
      <c r="AF317" s="146"/>
      <c r="AG317" s="124">
        <v>12.78</v>
      </c>
      <c r="AH317" s="98">
        <f t="shared" si="184"/>
        <v>86111.64</v>
      </c>
      <c r="AI317" s="147">
        <f t="shared" si="185"/>
        <v>219295.08</v>
      </c>
    </row>
    <row r="318" spans="1:35" ht="30" customHeight="1" x14ac:dyDescent="0.15">
      <c r="A318" s="232" t="s">
        <v>78</v>
      </c>
      <c r="B318" s="233">
        <f t="shared" si="186"/>
        <v>78</v>
      </c>
      <c r="C318" s="234">
        <f t="shared" si="187"/>
        <v>1296</v>
      </c>
      <c r="D318" s="235">
        <f t="shared" si="188"/>
        <v>100</v>
      </c>
      <c r="E318" s="228">
        <f t="shared" si="177"/>
        <v>85924.800000000003</v>
      </c>
      <c r="F318" s="229" t="s">
        <v>71</v>
      </c>
      <c r="G318" s="230">
        <v>5598</v>
      </c>
      <c r="H318" s="230"/>
      <c r="I318" s="234">
        <f>I317</f>
        <v>18.29</v>
      </c>
      <c r="J318" s="228">
        <f t="shared" si="178"/>
        <v>102387.42</v>
      </c>
      <c r="K318" s="231">
        <f t="shared" si="179"/>
        <v>188312.22</v>
      </c>
      <c r="L318" s="2"/>
      <c r="M318" s="148" t="s">
        <v>78</v>
      </c>
      <c r="N318" s="149">
        <f t="shared" si="189"/>
        <v>78</v>
      </c>
      <c r="O318" s="125">
        <f t="shared" si="190"/>
        <v>2008.8</v>
      </c>
      <c r="P318" s="106">
        <f t="shared" si="191"/>
        <v>100</v>
      </c>
      <c r="Q318" s="98">
        <f t="shared" si="180"/>
        <v>133183.44</v>
      </c>
      <c r="R318" s="145" t="s">
        <v>71</v>
      </c>
      <c r="S318" s="146">
        <v>5598</v>
      </c>
      <c r="T318" s="146"/>
      <c r="U318" s="125">
        <f>U317</f>
        <v>12.78</v>
      </c>
      <c r="V318" s="98">
        <f t="shared" si="181"/>
        <v>71542.44</v>
      </c>
      <c r="W318" s="147">
        <f t="shared" si="182"/>
        <v>204725.88</v>
      </c>
      <c r="X318" s="2"/>
      <c r="Y318" s="148" t="s">
        <v>78</v>
      </c>
      <c r="Z318" s="149">
        <f t="shared" si="192"/>
        <v>78</v>
      </c>
      <c r="AA318" s="125">
        <f t="shared" si="193"/>
        <v>2008.8</v>
      </c>
      <c r="AB318" s="106">
        <f t="shared" si="194"/>
        <v>100</v>
      </c>
      <c r="AC318" s="98">
        <f t="shared" si="183"/>
        <v>133183.44</v>
      </c>
      <c r="AD318" s="145" t="s">
        <v>71</v>
      </c>
      <c r="AE318" s="146">
        <v>5598</v>
      </c>
      <c r="AF318" s="146"/>
      <c r="AG318" s="125">
        <f>AG317</f>
        <v>12.78</v>
      </c>
      <c r="AH318" s="98">
        <f t="shared" si="184"/>
        <v>71542.44</v>
      </c>
      <c r="AI318" s="147">
        <f t="shared" si="185"/>
        <v>204725.88</v>
      </c>
    </row>
    <row r="319" spans="1:35" ht="30" customHeight="1" x14ac:dyDescent="0.15">
      <c r="A319" s="232" t="s">
        <v>79</v>
      </c>
      <c r="B319" s="233">
        <f t="shared" si="186"/>
        <v>78</v>
      </c>
      <c r="C319" s="234">
        <f t="shared" si="187"/>
        <v>1296</v>
      </c>
      <c r="D319" s="235">
        <f t="shared" si="188"/>
        <v>100</v>
      </c>
      <c r="E319" s="228">
        <f t="shared" si="177"/>
        <v>85924.800000000003</v>
      </c>
      <c r="F319" s="229" t="s">
        <v>71</v>
      </c>
      <c r="G319" s="230">
        <f>5309+1327</f>
        <v>6636</v>
      </c>
      <c r="H319" s="230"/>
      <c r="I319" s="234">
        <f>I318</f>
        <v>18.29</v>
      </c>
      <c r="J319" s="228">
        <f t="shared" si="178"/>
        <v>121372.44</v>
      </c>
      <c r="K319" s="231">
        <f t="shared" si="179"/>
        <v>207297.24</v>
      </c>
      <c r="L319" s="2"/>
      <c r="M319" s="148" t="s">
        <v>79</v>
      </c>
      <c r="N319" s="149">
        <f t="shared" si="189"/>
        <v>78</v>
      </c>
      <c r="O319" s="125">
        <f t="shared" si="190"/>
        <v>2008.8</v>
      </c>
      <c r="P319" s="106">
        <f t="shared" si="191"/>
        <v>100</v>
      </c>
      <c r="Q319" s="98">
        <f t="shared" si="180"/>
        <v>133183.44</v>
      </c>
      <c r="R319" s="145" t="s">
        <v>71</v>
      </c>
      <c r="S319" s="146">
        <f>5309+1327</f>
        <v>6636</v>
      </c>
      <c r="T319" s="146"/>
      <c r="U319" s="125">
        <f>U318</f>
        <v>12.78</v>
      </c>
      <c r="V319" s="98">
        <f t="shared" si="181"/>
        <v>84808.08</v>
      </c>
      <c r="W319" s="147">
        <f t="shared" si="182"/>
        <v>217991.52</v>
      </c>
      <c r="X319" s="2"/>
      <c r="Y319" s="148" t="s">
        <v>79</v>
      </c>
      <c r="Z319" s="149">
        <f t="shared" si="192"/>
        <v>78</v>
      </c>
      <c r="AA319" s="125">
        <f t="shared" si="193"/>
        <v>2008.8</v>
      </c>
      <c r="AB319" s="106">
        <f t="shared" si="194"/>
        <v>100</v>
      </c>
      <c r="AC319" s="98">
        <f t="shared" si="183"/>
        <v>133183.44</v>
      </c>
      <c r="AD319" s="145" t="s">
        <v>71</v>
      </c>
      <c r="AE319" s="146">
        <f>5309+1327</f>
        <v>6636</v>
      </c>
      <c r="AF319" s="146"/>
      <c r="AG319" s="125">
        <f>AG318</f>
        <v>12.78</v>
      </c>
      <c r="AH319" s="98">
        <f t="shared" si="184"/>
        <v>84808.08</v>
      </c>
      <c r="AI319" s="147">
        <f t="shared" si="185"/>
        <v>217991.52</v>
      </c>
    </row>
    <row r="320" spans="1:35" ht="30" customHeight="1" x14ac:dyDescent="0.15">
      <c r="A320" s="232" t="s">
        <v>80</v>
      </c>
      <c r="B320" s="233">
        <f t="shared" si="186"/>
        <v>78</v>
      </c>
      <c r="C320" s="234">
        <f t="shared" si="187"/>
        <v>1296</v>
      </c>
      <c r="D320" s="235">
        <f t="shared" si="188"/>
        <v>100</v>
      </c>
      <c r="E320" s="228">
        <f t="shared" si="177"/>
        <v>85924.800000000003</v>
      </c>
      <c r="F320" s="229" t="s">
        <v>9</v>
      </c>
      <c r="G320" s="230">
        <v>6162</v>
      </c>
      <c r="H320" s="230"/>
      <c r="I320" s="234">
        <f>I311</f>
        <v>16.87</v>
      </c>
      <c r="J320" s="228">
        <f t="shared" si="178"/>
        <v>103952.94</v>
      </c>
      <c r="K320" s="231">
        <f t="shared" si="179"/>
        <v>189877.74</v>
      </c>
      <c r="L320" s="2"/>
      <c r="M320" s="148" t="s">
        <v>80</v>
      </c>
      <c r="N320" s="149">
        <f t="shared" si="189"/>
        <v>78</v>
      </c>
      <c r="O320" s="125">
        <f t="shared" si="190"/>
        <v>2008.8</v>
      </c>
      <c r="P320" s="106">
        <f t="shared" si="191"/>
        <v>100</v>
      </c>
      <c r="Q320" s="98">
        <f t="shared" si="180"/>
        <v>133183.44</v>
      </c>
      <c r="R320" s="145" t="s">
        <v>9</v>
      </c>
      <c r="S320" s="146">
        <v>6162</v>
      </c>
      <c r="T320" s="146"/>
      <c r="U320" s="125">
        <f>U311</f>
        <v>11.87</v>
      </c>
      <c r="V320" s="98">
        <f t="shared" si="181"/>
        <v>73142.94</v>
      </c>
      <c r="W320" s="147">
        <f t="shared" si="182"/>
        <v>206326.38</v>
      </c>
      <c r="X320" s="2"/>
      <c r="Y320" s="148" t="s">
        <v>80</v>
      </c>
      <c r="Z320" s="149">
        <f t="shared" si="192"/>
        <v>78</v>
      </c>
      <c r="AA320" s="125">
        <f t="shared" si="193"/>
        <v>2008.8</v>
      </c>
      <c r="AB320" s="106">
        <f t="shared" si="194"/>
        <v>100</v>
      </c>
      <c r="AC320" s="98">
        <f t="shared" si="183"/>
        <v>133183.44</v>
      </c>
      <c r="AD320" s="145" t="s">
        <v>9</v>
      </c>
      <c r="AE320" s="146">
        <v>6162</v>
      </c>
      <c r="AF320" s="146"/>
      <c r="AG320" s="125">
        <f>AG311</f>
        <v>11.87</v>
      </c>
      <c r="AH320" s="98">
        <f t="shared" si="184"/>
        <v>73142.94</v>
      </c>
      <c r="AI320" s="147">
        <f t="shared" si="185"/>
        <v>206326.38</v>
      </c>
    </row>
    <row r="321" spans="1:35" ht="30" customHeight="1" x14ac:dyDescent="0.15">
      <c r="A321" s="232" t="s">
        <v>81</v>
      </c>
      <c r="B321" s="233">
        <f t="shared" si="186"/>
        <v>78</v>
      </c>
      <c r="C321" s="234">
        <f t="shared" si="187"/>
        <v>1296</v>
      </c>
      <c r="D321" s="235">
        <f t="shared" si="188"/>
        <v>100</v>
      </c>
      <c r="E321" s="228">
        <f t="shared" si="177"/>
        <v>85924.800000000003</v>
      </c>
      <c r="F321" s="229" t="s">
        <v>9</v>
      </c>
      <c r="G321" s="230">
        <v>6534</v>
      </c>
      <c r="H321" s="230"/>
      <c r="I321" s="236">
        <f>I320</f>
        <v>16.87</v>
      </c>
      <c r="J321" s="228">
        <f t="shared" si="178"/>
        <v>110228.58</v>
      </c>
      <c r="K321" s="231">
        <f t="shared" si="179"/>
        <v>196153.38</v>
      </c>
      <c r="L321" s="89"/>
      <c r="M321" s="148" t="s">
        <v>81</v>
      </c>
      <c r="N321" s="149">
        <f t="shared" si="189"/>
        <v>78</v>
      </c>
      <c r="O321" s="125">
        <f t="shared" si="190"/>
        <v>2008.8</v>
      </c>
      <c r="P321" s="106">
        <f t="shared" si="191"/>
        <v>100</v>
      </c>
      <c r="Q321" s="98">
        <f t="shared" si="180"/>
        <v>133183.44</v>
      </c>
      <c r="R321" s="145" t="s">
        <v>9</v>
      </c>
      <c r="S321" s="146">
        <v>6534</v>
      </c>
      <c r="T321" s="146"/>
      <c r="U321" s="127">
        <f>U320</f>
        <v>11.87</v>
      </c>
      <c r="V321" s="98">
        <f t="shared" si="181"/>
        <v>77558.58</v>
      </c>
      <c r="W321" s="147">
        <f t="shared" si="182"/>
        <v>210742.02</v>
      </c>
      <c r="X321" s="89"/>
      <c r="Y321" s="148" t="s">
        <v>81</v>
      </c>
      <c r="Z321" s="149">
        <f t="shared" si="192"/>
        <v>78</v>
      </c>
      <c r="AA321" s="125">
        <f t="shared" si="193"/>
        <v>2008.8</v>
      </c>
      <c r="AB321" s="106">
        <f t="shared" si="194"/>
        <v>100</v>
      </c>
      <c r="AC321" s="98">
        <f t="shared" si="183"/>
        <v>133183.44</v>
      </c>
      <c r="AD321" s="145" t="s">
        <v>9</v>
      </c>
      <c r="AE321" s="146">
        <v>6534</v>
      </c>
      <c r="AF321" s="146"/>
      <c r="AG321" s="127">
        <f>AG320</f>
        <v>11.87</v>
      </c>
      <c r="AH321" s="98">
        <f t="shared" si="184"/>
        <v>77558.58</v>
      </c>
      <c r="AI321" s="147">
        <f t="shared" si="185"/>
        <v>210742.02</v>
      </c>
    </row>
    <row r="322" spans="1:35" ht="30" customHeight="1" thickBot="1" x14ac:dyDescent="0.2">
      <c r="A322" s="237" t="s">
        <v>82</v>
      </c>
      <c r="B322" s="238">
        <f t="shared" si="186"/>
        <v>78</v>
      </c>
      <c r="C322" s="239">
        <f t="shared" si="187"/>
        <v>1296</v>
      </c>
      <c r="D322" s="238">
        <f t="shared" si="188"/>
        <v>100</v>
      </c>
      <c r="E322" s="240">
        <f t="shared" si="177"/>
        <v>85924.800000000003</v>
      </c>
      <c r="F322" s="241" t="s">
        <v>9</v>
      </c>
      <c r="G322" s="242">
        <v>5820</v>
      </c>
      <c r="H322" s="242"/>
      <c r="I322" s="239">
        <f>I321</f>
        <v>16.87</v>
      </c>
      <c r="J322" s="240">
        <f t="shared" si="178"/>
        <v>98183.4</v>
      </c>
      <c r="K322" s="243">
        <f t="shared" si="179"/>
        <v>184108.2</v>
      </c>
      <c r="L322" s="89"/>
      <c r="M322" s="150" t="s">
        <v>82</v>
      </c>
      <c r="N322" s="151">
        <f t="shared" si="189"/>
        <v>78</v>
      </c>
      <c r="O322" s="126">
        <f t="shared" si="190"/>
        <v>2008.8</v>
      </c>
      <c r="P322" s="152">
        <f t="shared" si="191"/>
        <v>100</v>
      </c>
      <c r="Q322" s="99">
        <f t="shared" si="180"/>
        <v>133183.44</v>
      </c>
      <c r="R322" s="153" t="s">
        <v>9</v>
      </c>
      <c r="S322" s="154">
        <v>5820</v>
      </c>
      <c r="T322" s="154"/>
      <c r="U322" s="126">
        <f>U321</f>
        <v>11.87</v>
      </c>
      <c r="V322" s="99">
        <f t="shared" si="181"/>
        <v>69083.399999999994</v>
      </c>
      <c r="W322" s="155">
        <f t="shared" si="182"/>
        <v>202266.84</v>
      </c>
      <c r="X322" s="89"/>
      <c r="Y322" s="150" t="s">
        <v>82</v>
      </c>
      <c r="Z322" s="151">
        <f t="shared" si="192"/>
        <v>78</v>
      </c>
      <c r="AA322" s="126">
        <f t="shared" si="193"/>
        <v>2008.8</v>
      </c>
      <c r="AB322" s="152">
        <f t="shared" si="194"/>
        <v>100</v>
      </c>
      <c r="AC322" s="99">
        <f t="shared" si="183"/>
        <v>133183.44</v>
      </c>
      <c r="AD322" s="153" t="s">
        <v>9</v>
      </c>
      <c r="AE322" s="154">
        <v>5820</v>
      </c>
      <c r="AF322" s="154"/>
      <c r="AG322" s="126">
        <f>AG321</f>
        <v>11.87</v>
      </c>
      <c r="AH322" s="99">
        <f t="shared" si="184"/>
        <v>69083.399999999994</v>
      </c>
      <c r="AI322" s="155">
        <f t="shared" si="185"/>
        <v>202266.84</v>
      </c>
    </row>
    <row r="323" spans="1:35" ht="30" customHeight="1" thickBot="1" x14ac:dyDescent="0.2">
      <c r="A323" s="251" t="s">
        <v>41</v>
      </c>
      <c r="B323" s="245"/>
      <c r="C323" s="245"/>
      <c r="D323" s="245"/>
      <c r="E323" s="246">
        <f>SUM(E311:E322)</f>
        <v>1031097.6000000002</v>
      </c>
      <c r="F323" s="247"/>
      <c r="G323" s="248">
        <f>SUM(G311:G322)</f>
        <v>76698</v>
      </c>
      <c r="H323" s="248"/>
      <c r="I323" s="245"/>
      <c r="J323" s="246">
        <f>SUM(J311:J322)</f>
        <v>1320835.5</v>
      </c>
      <c r="K323" s="249">
        <f>SUM(K311:K322)</f>
        <v>2351933.1</v>
      </c>
      <c r="L323" s="89" t="s">
        <v>113</v>
      </c>
      <c r="M323" s="164" t="s">
        <v>41</v>
      </c>
      <c r="N323" s="157"/>
      <c r="O323" s="157"/>
      <c r="P323" s="157"/>
      <c r="Q323" s="158">
        <f>SUM(Q311:Q322)</f>
        <v>1598201.2799999996</v>
      </c>
      <c r="R323" s="159"/>
      <c r="S323" s="160">
        <f>SUM(S311:S322)</f>
        <v>76698</v>
      </c>
      <c r="T323" s="160"/>
      <c r="U323" s="157"/>
      <c r="V323" s="158">
        <f>SUM(V311:V322)</f>
        <v>927669.78</v>
      </c>
      <c r="W323" s="161">
        <f>SUM(W311:W322)</f>
        <v>2525871.06</v>
      </c>
      <c r="X323" s="89" t="s">
        <v>113</v>
      </c>
      <c r="Y323" s="164" t="s">
        <v>41</v>
      </c>
      <c r="Z323" s="157"/>
      <c r="AA323" s="157"/>
      <c r="AB323" s="157"/>
      <c r="AC323" s="158">
        <f>SUM(AC311:AC322)</f>
        <v>1598201.2799999996</v>
      </c>
      <c r="AD323" s="159"/>
      <c r="AE323" s="160">
        <f>SUM(AE311:AE322)</f>
        <v>76698</v>
      </c>
      <c r="AF323" s="160"/>
      <c r="AG323" s="157"/>
      <c r="AH323" s="158">
        <f>SUM(AH311:AH322)</f>
        <v>927669.78</v>
      </c>
      <c r="AI323" s="161">
        <f>SUM(AI311:AI322)</f>
        <v>2525871.06</v>
      </c>
    </row>
    <row r="324" spans="1:35" ht="15" customHeight="1" x14ac:dyDescent="0.15">
      <c r="A324" s="214"/>
      <c r="B324" s="250"/>
      <c r="C324" s="250"/>
      <c r="D324" s="250"/>
      <c r="E324" s="250"/>
      <c r="F324" s="250"/>
      <c r="G324" s="250"/>
      <c r="H324" s="250"/>
      <c r="I324" s="250"/>
      <c r="J324" s="250"/>
      <c r="K324" s="250"/>
      <c r="L324" s="89"/>
      <c r="N324" s="162"/>
      <c r="O324" s="162"/>
      <c r="P324" s="162"/>
      <c r="Q324" s="162"/>
      <c r="R324" s="162"/>
      <c r="S324" s="162"/>
      <c r="T324" s="162"/>
      <c r="U324" s="162"/>
      <c r="V324" s="162"/>
      <c r="W324" s="162"/>
      <c r="X324" s="89"/>
      <c r="Z324" s="162"/>
      <c r="AA324" s="162"/>
      <c r="AB324" s="162"/>
      <c r="AC324" s="162"/>
      <c r="AD324" s="162"/>
      <c r="AE324" s="162"/>
      <c r="AF324" s="162"/>
      <c r="AG324" s="162"/>
      <c r="AH324" s="162"/>
      <c r="AI324" s="162"/>
    </row>
    <row r="325" spans="1:35" x14ac:dyDescent="0.15">
      <c r="A325" s="211" t="s">
        <v>153</v>
      </c>
      <c r="B325" s="212">
        <f>B300+1</f>
        <v>12</v>
      </c>
      <c r="C325" s="213"/>
      <c r="D325" s="213"/>
      <c r="E325" s="213"/>
      <c r="F325" s="213"/>
      <c r="G325" s="213"/>
      <c r="H325" s="213"/>
      <c r="I325" s="213"/>
      <c r="J325" s="213"/>
      <c r="K325" s="692" t="str">
        <f>IF(K348-W348&lt;=0,"現状のまま","メニュー変更")</f>
        <v>現状のまま</v>
      </c>
      <c r="L325" s="2"/>
      <c r="M325" s="47" t="s">
        <v>153</v>
      </c>
      <c r="N325" s="62">
        <f>N300+1</f>
        <v>12</v>
      </c>
      <c r="X325" s="2"/>
      <c r="Y325" s="47" t="s">
        <v>153</v>
      </c>
      <c r="Z325" s="62" t="e">
        <f>Z300+1</f>
        <v>#REF!</v>
      </c>
    </row>
    <row r="326" spans="1:35" x14ac:dyDescent="0.15">
      <c r="A326" s="214"/>
      <c r="B326" s="213"/>
      <c r="C326" s="213"/>
      <c r="D326" s="213"/>
      <c r="E326" s="213"/>
      <c r="F326" s="213"/>
      <c r="G326" s="213"/>
      <c r="H326" s="213"/>
      <c r="I326" s="213"/>
      <c r="J326" s="213"/>
      <c r="K326" s="692"/>
      <c r="L326" s="2"/>
      <c r="X326" s="2"/>
    </row>
    <row r="327" spans="1:35" x14ac:dyDescent="0.15">
      <c r="A327" s="214"/>
      <c r="B327" s="213"/>
      <c r="C327" s="213"/>
      <c r="D327" s="213"/>
      <c r="E327" s="213"/>
      <c r="F327" s="213"/>
      <c r="G327" s="213"/>
      <c r="H327" s="213"/>
      <c r="I327" s="213"/>
      <c r="J327" s="213"/>
      <c r="K327" s="692"/>
      <c r="L327" s="2"/>
      <c r="X327" s="2"/>
    </row>
    <row r="328" spans="1:35" ht="17.25" x14ac:dyDescent="0.15">
      <c r="A328" s="694" t="str">
        <f>$A$5</f>
        <v>平成29年度小郡市役所庁舎外25施設電力需給</v>
      </c>
      <c r="B328" s="694"/>
      <c r="C328" s="694"/>
      <c r="D328" s="694"/>
      <c r="E328" s="694"/>
      <c r="F328" s="694"/>
      <c r="G328" s="694"/>
      <c r="H328" s="694"/>
      <c r="I328" s="694"/>
      <c r="J328" s="694"/>
      <c r="K328" s="694"/>
      <c r="L328" s="2"/>
      <c r="M328" s="553" t="str">
        <f>$A$5</f>
        <v>平成29年度小郡市役所庁舎外25施設電力需給</v>
      </c>
      <c r="N328" s="553"/>
      <c r="O328" s="553"/>
      <c r="P328" s="553"/>
      <c r="Q328" s="553"/>
      <c r="R328" s="553"/>
      <c r="S328" s="553"/>
      <c r="T328" s="553"/>
      <c r="U328" s="553"/>
      <c r="V328" s="553"/>
      <c r="W328" s="553"/>
      <c r="X328" s="2"/>
      <c r="Y328" s="553" t="str">
        <f>$A$5</f>
        <v>平成29年度小郡市役所庁舎外25施設電力需給</v>
      </c>
      <c r="Z328" s="553"/>
      <c r="AA328" s="553"/>
      <c r="AB328" s="553"/>
      <c r="AC328" s="553"/>
      <c r="AD328" s="553"/>
      <c r="AE328" s="553"/>
      <c r="AF328" s="553"/>
      <c r="AG328" s="553"/>
      <c r="AH328" s="553"/>
      <c r="AI328" s="553"/>
    </row>
    <row r="329" spans="1:35" x14ac:dyDescent="0.15">
      <c r="A329" s="689" t="str">
        <f>$A$6</f>
        <v>（平成３０年１月～平成３０年１２月期間中の予定金額）</v>
      </c>
      <c r="B329" s="689"/>
      <c r="C329" s="689"/>
      <c r="D329" s="689"/>
      <c r="E329" s="689"/>
      <c r="F329" s="689"/>
      <c r="G329" s="689"/>
      <c r="H329" s="689"/>
      <c r="I329" s="689"/>
      <c r="J329" s="689"/>
      <c r="K329" s="689"/>
      <c r="L329" s="2"/>
      <c r="M329" s="555" t="str">
        <f>$A$6</f>
        <v>（平成３０年１月～平成３０年１２月期間中の予定金額）</v>
      </c>
      <c r="N329" s="555"/>
      <c r="O329" s="555"/>
      <c r="P329" s="555"/>
      <c r="Q329" s="555"/>
      <c r="R329" s="555"/>
      <c r="S329" s="555"/>
      <c r="T329" s="555"/>
      <c r="U329" s="555"/>
      <c r="V329" s="555"/>
      <c r="W329" s="555"/>
      <c r="X329" s="2"/>
      <c r="Y329" s="555" t="str">
        <f>$A$6</f>
        <v>（平成３０年１月～平成３０年１２月期間中の予定金額）</v>
      </c>
      <c r="Z329" s="555"/>
      <c r="AA329" s="555"/>
      <c r="AB329" s="555"/>
      <c r="AC329" s="555"/>
      <c r="AD329" s="555"/>
      <c r="AE329" s="555"/>
      <c r="AF329" s="555"/>
      <c r="AG329" s="555"/>
      <c r="AH329" s="555"/>
      <c r="AI329" s="555"/>
    </row>
    <row r="330" spans="1:35" ht="14.25" thickBot="1" x14ac:dyDescent="0.2">
      <c r="A330" s="215" t="s">
        <v>136</v>
      </c>
      <c r="B330" s="215"/>
      <c r="C330" s="213"/>
      <c r="D330" s="213"/>
      <c r="E330" s="213"/>
      <c r="F330" s="213"/>
      <c r="G330" s="213"/>
      <c r="H330" s="213"/>
      <c r="I330" s="213"/>
      <c r="J330" s="213"/>
      <c r="K330" s="211" t="s">
        <v>84</v>
      </c>
      <c r="L330" s="2"/>
      <c r="M330" s="134" t="s">
        <v>136</v>
      </c>
      <c r="N330" s="134"/>
      <c r="W330" s="47" t="s">
        <v>70</v>
      </c>
      <c r="X330" s="2"/>
      <c r="Y330" s="134" t="s">
        <v>136</v>
      </c>
      <c r="Z330" s="134"/>
      <c r="AI330" s="47" t="s">
        <v>70</v>
      </c>
    </row>
    <row r="331" spans="1:35" ht="18" customHeight="1" thickBot="1" x14ac:dyDescent="0.2">
      <c r="A331" s="695" t="s">
        <v>33</v>
      </c>
      <c r="B331" s="683" t="s">
        <v>24</v>
      </c>
      <c r="C331" s="684"/>
      <c r="D331" s="684"/>
      <c r="E331" s="685"/>
      <c r="F331" s="686" t="s">
        <v>34</v>
      </c>
      <c r="G331" s="687"/>
      <c r="H331" s="687"/>
      <c r="I331" s="687"/>
      <c r="J331" s="688"/>
      <c r="K331" s="667" t="s">
        <v>35</v>
      </c>
      <c r="L331" s="2"/>
      <c r="M331" s="567" t="s">
        <v>33</v>
      </c>
      <c r="N331" s="570" t="s">
        <v>24</v>
      </c>
      <c r="O331" s="571"/>
      <c r="P331" s="571"/>
      <c r="Q331" s="572"/>
      <c r="R331" s="573" t="s">
        <v>34</v>
      </c>
      <c r="S331" s="574"/>
      <c r="T331" s="574"/>
      <c r="U331" s="574"/>
      <c r="V331" s="575"/>
      <c r="W331" s="544" t="s">
        <v>35</v>
      </c>
      <c r="X331" s="2"/>
      <c r="Y331" s="567" t="s">
        <v>33</v>
      </c>
      <c r="Z331" s="570" t="s">
        <v>24</v>
      </c>
      <c r="AA331" s="571"/>
      <c r="AB331" s="571"/>
      <c r="AC331" s="572"/>
      <c r="AD331" s="573" t="s">
        <v>34</v>
      </c>
      <c r="AE331" s="574"/>
      <c r="AF331" s="574"/>
      <c r="AG331" s="574"/>
      <c r="AH331" s="575"/>
      <c r="AI331" s="544" t="s">
        <v>35</v>
      </c>
    </row>
    <row r="332" spans="1:35" ht="13.5" customHeight="1" x14ac:dyDescent="0.15">
      <c r="A332" s="696"/>
      <c r="B332" s="669" t="s">
        <v>28</v>
      </c>
      <c r="C332" s="667" t="s">
        <v>29</v>
      </c>
      <c r="D332" s="669" t="s">
        <v>25</v>
      </c>
      <c r="E332" s="678" t="s">
        <v>31</v>
      </c>
      <c r="F332" s="679" t="s">
        <v>36</v>
      </c>
      <c r="G332" s="680"/>
      <c r="H332" s="216"/>
      <c r="I332" s="667" t="s">
        <v>37</v>
      </c>
      <c r="J332" s="669" t="s">
        <v>38</v>
      </c>
      <c r="K332" s="668"/>
      <c r="L332" s="2"/>
      <c r="M332" s="568"/>
      <c r="N332" s="546" t="s">
        <v>28</v>
      </c>
      <c r="O332" s="544" t="s">
        <v>29</v>
      </c>
      <c r="P332" s="546" t="s">
        <v>25</v>
      </c>
      <c r="Q332" s="582" t="s">
        <v>31</v>
      </c>
      <c r="R332" s="540" t="s">
        <v>36</v>
      </c>
      <c r="S332" s="541"/>
      <c r="T332" s="135"/>
      <c r="U332" s="544" t="s">
        <v>37</v>
      </c>
      <c r="V332" s="546" t="s">
        <v>38</v>
      </c>
      <c r="W332" s="545"/>
      <c r="X332" s="2"/>
      <c r="Y332" s="568"/>
      <c r="Z332" s="546" t="s">
        <v>28</v>
      </c>
      <c r="AA332" s="544" t="s">
        <v>29</v>
      </c>
      <c r="AB332" s="546" t="s">
        <v>25</v>
      </c>
      <c r="AC332" s="582" t="s">
        <v>31</v>
      </c>
      <c r="AD332" s="540" t="s">
        <v>36</v>
      </c>
      <c r="AE332" s="541"/>
      <c r="AF332" s="135"/>
      <c r="AG332" s="544" t="s">
        <v>37</v>
      </c>
      <c r="AH332" s="546" t="s">
        <v>38</v>
      </c>
      <c r="AI332" s="545"/>
    </row>
    <row r="333" spans="1:35" x14ac:dyDescent="0.15">
      <c r="A333" s="696"/>
      <c r="B333" s="669"/>
      <c r="C333" s="668"/>
      <c r="D333" s="669"/>
      <c r="E333" s="669"/>
      <c r="F333" s="681"/>
      <c r="G333" s="682"/>
      <c r="H333" s="217"/>
      <c r="I333" s="668"/>
      <c r="J333" s="669"/>
      <c r="K333" s="668"/>
      <c r="L333" s="2"/>
      <c r="M333" s="568"/>
      <c r="N333" s="546"/>
      <c r="O333" s="545"/>
      <c r="P333" s="546"/>
      <c r="Q333" s="546"/>
      <c r="R333" s="542"/>
      <c r="S333" s="543"/>
      <c r="T333" s="136"/>
      <c r="U333" s="545"/>
      <c r="V333" s="546"/>
      <c r="W333" s="545"/>
      <c r="X333" s="2"/>
      <c r="Y333" s="568"/>
      <c r="Z333" s="546"/>
      <c r="AA333" s="545"/>
      <c r="AB333" s="546"/>
      <c r="AC333" s="546"/>
      <c r="AD333" s="542"/>
      <c r="AE333" s="543"/>
      <c r="AF333" s="136"/>
      <c r="AG333" s="545"/>
      <c r="AH333" s="546"/>
      <c r="AI333" s="545"/>
    </row>
    <row r="334" spans="1:35" ht="23.25" customHeight="1" x14ac:dyDescent="0.15">
      <c r="A334" s="696"/>
      <c r="B334" s="218" t="s">
        <v>13</v>
      </c>
      <c r="C334" s="219" t="s">
        <v>30</v>
      </c>
      <c r="D334" s="218" t="s">
        <v>14</v>
      </c>
      <c r="E334" s="218" t="s">
        <v>40</v>
      </c>
      <c r="F334" s="665" t="s">
        <v>15</v>
      </c>
      <c r="G334" s="666"/>
      <c r="H334" s="220"/>
      <c r="I334" s="219" t="s">
        <v>30</v>
      </c>
      <c r="J334" s="218" t="s">
        <v>40</v>
      </c>
      <c r="K334" s="218" t="s">
        <v>40</v>
      </c>
      <c r="L334" s="2"/>
      <c r="M334" s="568"/>
      <c r="N334" s="137" t="s">
        <v>152</v>
      </c>
      <c r="O334" s="138" t="s">
        <v>30</v>
      </c>
      <c r="P334" s="137" t="s">
        <v>14</v>
      </c>
      <c r="Q334" s="137" t="s">
        <v>40</v>
      </c>
      <c r="R334" s="549" t="s">
        <v>15</v>
      </c>
      <c r="S334" s="550"/>
      <c r="T334" s="139"/>
      <c r="U334" s="138" t="s">
        <v>30</v>
      </c>
      <c r="V334" s="137" t="s">
        <v>40</v>
      </c>
      <c r="W334" s="137" t="s">
        <v>40</v>
      </c>
      <c r="X334" s="2"/>
      <c r="Y334" s="568"/>
      <c r="Z334" s="137" t="s">
        <v>152</v>
      </c>
      <c r="AA334" s="138" t="s">
        <v>30</v>
      </c>
      <c r="AB334" s="137" t="s">
        <v>14</v>
      </c>
      <c r="AC334" s="137" t="s">
        <v>40</v>
      </c>
      <c r="AD334" s="549" t="s">
        <v>15</v>
      </c>
      <c r="AE334" s="550"/>
      <c r="AF334" s="139"/>
      <c r="AG334" s="138" t="s">
        <v>30</v>
      </c>
      <c r="AH334" s="137" t="s">
        <v>40</v>
      </c>
      <c r="AI334" s="137" t="s">
        <v>40</v>
      </c>
    </row>
    <row r="335" spans="1:35" ht="15.75" customHeight="1" thickBot="1" x14ac:dyDescent="0.2">
      <c r="A335" s="697"/>
      <c r="B335" s="221" t="s">
        <v>16</v>
      </c>
      <c r="C335" s="221" t="s">
        <v>17</v>
      </c>
      <c r="D335" s="221" t="s">
        <v>18</v>
      </c>
      <c r="E335" s="221" t="s">
        <v>19</v>
      </c>
      <c r="F335" s="222"/>
      <c r="G335" s="223" t="s">
        <v>20</v>
      </c>
      <c r="H335" s="223"/>
      <c r="I335" s="221" t="s">
        <v>21</v>
      </c>
      <c r="J335" s="221" t="s">
        <v>22</v>
      </c>
      <c r="K335" s="223" t="s">
        <v>23</v>
      </c>
      <c r="L335" s="2"/>
      <c r="M335" s="569"/>
      <c r="N335" s="122" t="s">
        <v>16</v>
      </c>
      <c r="O335" s="122" t="s">
        <v>17</v>
      </c>
      <c r="P335" s="122" t="s">
        <v>18</v>
      </c>
      <c r="Q335" s="122" t="s">
        <v>19</v>
      </c>
      <c r="R335" s="140"/>
      <c r="S335" s="141" t="s">
        <v>20</v>
      </c>
      <c r="T335" s="141"/>
      <c r="U335" s="122" t="s">
        <v>21</v>
      </c>
      <c r="V335" s="122" t="s">
        <v>22</v>
      </c>
      <c r="W335" s="141" t="s">
        <v>23</v>
      </c>
      <c r="X335" s="2"/>
      <c r="Y335" s="569"/>
      <c r="Z335" s="122" t="s">
        <v>16</v>
      </c>
      <c r="AA335" s="122" t="s">
        <v>17</v>
      </c>
      <c r="AB335" s="122" t="s">
        <v>18</v>
      </c>
      <c r="AC335" s="122" t="s">
        <v>19</v>
      </c>
      <c r="AD335" s="140"/>
      <c r="AE335" s="141" t="s">
        <v>20</v>
      </c>
      <c r="AF335" s="141"/>
      <c r="AG335" s="122" t="s">
        <v>21</v>
      </c>
      <c r="AH335" s="122" t="s">
        <v>22</v>
      </c>
      <c r="AI335" s="141" t="s">
        <v>23</v>
      </c>
    </row>
    <row r="336" spans="1:35" ht="30" customHeight="1" x14ac:dyDescent="0.15">
      <c r="A336" s="224" t="s">
        <v>83</v>
      </c>
      <c r="B336" s="225">
        <v>101</v>
      </c>
      <c r="C336" s="226">
        <v>1296</v>
      </c>
      <c r="D336" s="225">
        <v>100</v>
      </c>
      <c r="E336" s="228">
        <f t="shared" ref="E336:E347" si="195">ROUNDDOWN(B336*C336*((185-D336)/100),2)</f>
        <v>111261.6</v>
      </c>
      <c r="F336" s="229" t="s">
        <v>85</v>
      </c>
      <c r="G336" s="230">
        <v>13974</v>
      </c>
      <c r="H336" s="230"/>
      <c r="I336" s="226">
        <v>16.87</v>
      </c>
      <c r="J336" s="228">
        <f t="shared" ref="J336:J347" si="196">ROUNDDOWN(G336*I336,2)</f>
        <v>235741.38</v>
      </c>
      <c r="K336" s="231">
        <f t="shared" ref="K336:K347" si="197">ROUNDDOWN(J336+E336,2)</f>
        <v>347002.98</v>
      </c>
      <c r="L336" s="2"/>
      <c r="M336" s="142" t="s">
        <v>83</v>
      </c>
      <c r="N336" s="143">
        <v>101</v>
      </c>
      <c r="O336" s="123">
        <v>2008.8</v>
      </c>
      <c r="P336" s="163">
        <v>100</v>
      </c>
      <c r="Q336" s="98">
        <f t="shared" ref="Q336:Q347" si="198">ROUNDDOWN(N336*O336*((185-P336)/100),2)</f>
        <v>172455.48</v>
      </c>
      <c r="R336" s="145" t="s">
        <v>85</v>
      </c>
      <c r="S336" s="146">
        <v>13974</v>
      </c>
      <c r="T336" s="146"/>
      <c r="U336" s="124">
        <v>11.87</v>
      </c>
      <c r="V336" s="98">
        <f t="shared" ref="V336:V347" si="199">ROUNDDOWN(S336*U336,2)</f>
        <v>165871.38</v>
      </c>
      <c r="W336" s="147">
        <f t="shared" ref="W336:W347" si="200">ROUNDDOWN(V336+Q336,2)</f>
        <v>338326.86</v>
      </c>
      <c r="X336" s="2"/>
      <c r="Y336" s="142" t="s">
        <v>83</v>
      </c>
      <c r="Z336" s="143">
        <v>101</v>
      </c>
      <c r="AA336" s="123">
        <v>2008.8</v>
      </c>
      <c r="AB336" s="163">
        <v>100</v>
      </c>
      <c r="AC336" s="98">
        <f t="shared" ref="AC336:AC347" si="201">ROUNDDOWN(Z336*AA336*((185-AB336)/100),2)</f>
        <v>172455.48</v>
      </c>
      <c r="AD336" s="145" t="s">
        <v>85</v>
      </c>
      <c r="AE336" s="146">
        <v>13974</v>
      </c>
      <c r="AF336" s="146"/>
      <c r="AG336" s="124">
        <v>11.87</v>
      </c>
      <c r="AH336" s="98">
        <f t="shared" ref="AH336:AH347" si="202">ROUNDDOWN(AE336*AG336,2)</f>
        <v>165871.38</v>
      </c>
      <c r="AI336" s="147">
        <f t="shared" ref="AI336:AI347" si="203">ROUNDDOWN(AH336+AC336,2)</f>
        <v>338326.86</v>
      </c>
    </row>
    <row r="337" spans="1:35" ht="30" customHeight="1" x14ac:dyDescent="0.15">
      <c r="A337" s="232" t="s">
        <v>72</v>
      </c>
      <c r="B337" s="233">
        <f t="shared" ref="B337:B347" si="204">B336</f>
        <v>101</v>
      </c>
      <c r="C337" s="234">
        <f t="shared" ref="C337:C347" si="205">C336</f>
        <v>1296</v>
      </c>
      <c r="D337" s="235">
        <f t="shared" ref="D337:D347" si="206">D336</f>
        <v>100</v>
      </c>
      <c r="E337" s="228">
        <f t="shared" si="195"/>
        <v>111261.6</v>
      </c>
      <c r="F337" s="229" t="s">
        <v>112</v>
      </c>
      <c r="G337" s="230">
        <v>13014</v>
      </c>
      <c r="H337" s="230"/>
      <c r="I337" s="234">
        <f>I336</f>
        <v>16.87</v>
      </c>
      <c r="J337" s="228">
        <f t="shared" si="196"/>
        <v>219546.18</v>
      </c>
      <c r="K337" s="231">
        <f t="shared" si="197"/>
        <v>330807.78000000003</v>
      </c>
      <c r="L337" s="2"/>
      <c r="M337" s="148" t="s">
        <v>72</v>
      </c>
      <c r="N337" s="149">
        <f t="shared" ref="N337:N347" si="207">N336</f>
        <v>101</v>
      </c>
      <c r="O337" s="125">
        <f t="shared" ref="O337:O347" si="208">O336</f>
        <v>2008.8</v>
      </c>
      <c r="P337" s="106">
        <f t="shared" ref="P337:P347" si="209">P336</f>
        <v>100</v>
      </c>
      <c r="Q337" s="98">
        <f t="shared" si="198"/>
        <v>172455.48</v>
      </c>
      <c r="R337" s="145" t="s">
        <v>112</v>
      </c>
      <c r="S337" s="146">
        <v>13014</v>
      </c>
      <c r="T337" s="146"/>
      <c r="U337" s="125">
        <f>U336</f>
        <v>11.87</v>
      </c>
      <c r="V337" s="98">
        <f t="shared" si="199"/>
        <v>154476.18</v>
      </c>
      <c r="W337" s="147">
        <f t="shared" si="200"/>
        <v>326931.65999999997</v>
      </c>
      <c r="X337" s="2"/>
      <c r="Y337" s="148" t="s">
        <v>72</v>
      </c>
      <c r="Z337" s="149">
        <f t="shared" ref="Z337:Z347" si="210">Z336</f>
        <v>101</v>
      </c>
      <c r="AA337" s="125">
        <f t="shared" ref="AA337:AA347" si="211">AA336</f>
        <v>2008.8</v>
      </c>
      <c r="AB337" s="106">
        <f t="shared" ref="AB337:AB347" si="212">AB336</f>
        <v>100</v>
      </c>
      <c r="AC337" s="98">
        <f t="shared" si="201"/>
        <v>172455.48</v>
      </c>
      <c r="AD337" s="145" t="s">
        <v>112</v>
      </c>
      <c r="AE337" s="146">
        <v>13014</v>
      </c>
      <c r="AF337" s="146"/>
      <c r="AG337" s="125">
        <f>AG336</f>
        <v>11.87</v>
      </c>
      <c r="AH337" s="98">
        <f t="shared" si="202"/>
        <v>154476.18</v>
      </c>
      <c r="AI337" s="147">
        <f t="shared" si="203"/>
        <v>326931.65999999997</v>
      </c>
    </row>
    <row r="338" spans="1:35" ht="30" customHeight="1" x14ac:dyDescent="0.15">
      <c r="A338" s="232" t="s">
        <v>73</v>
      </c>
      <c r="B338" s="233">
        <f t="shared" si="204"/>
        <v>101</v>
      </c>
      <c r="C338" s="234">
        <f t="shared" si="205"/>
        <v>1296</v>
      </c>
      <c r="D338" s="235">
        <f t="shared" si="206"/>
        <v>100</v>
      </c>
      <c r="E338" s="228">
        <f t="shared" si="195"/>
        <v>111261.6</v>
      </c>
      <c r="F338" s="229" t="s">
        <v>9</v>
      </c>
      <c r="G338" s="230">
        <v>9636</v>
      </c>
      <c r="H338" s="230"/>
      <c r="I338" s="234">
        <f>I337</f>
        <v>16.87</v>
      </c>
      <c r="J338" s="228">
        <f t="shared" si="196"/>
        <v>162559.32</v>
      </c>
      <c r="K338" s="231">
        <f t="shared" si="197"/>
        <v>273820.92</v>
      </c>
      <c r="L338" s="2"/>
      <c r="M338" s="148" t="s">
        <v>73</v>
      </c>
      <c r="N338" s="149">
        <f t="shared" si="207"/>
        <v>101</v>
      </c>
      <c r="O338" s="125">
        <f t="shared" si="208"/>
        <v>2008.8</v>
      </c>
      <c r="P338" s="106">
        <f t="shared" si="209"/>
        <v>100</v>
      </c>
      <c r="Q338" s="98">
        <f t="shared" si="198"/>
        <v>172455.48</v>
      </c>
      <c r="R338" s="145" t="s">
        <v>9</v>
      </c>
      <c r="S338" s="146">
        <v>9636</v>
      </c>
      <c r="T338" s="146"/>
      <c r="U338" s="125">
        <f>U337</f>
        <v>11.87</v>
      </c>
      <c r="V338" s="98">
        <f t="shared" si="199"/>
        <v>114379.32</v>
      </c>
      <c r="W338" s="147">
        <f t="shared" si="200"/>
        <v>286834.8</v>
      </c>
      <c r="X338" s="2"/>
      <c r="Y338" s="148" t="s">
        <v>73</v>
      </c>
      <c r="Z338" s="149">
        <f t="shared" si="210"/>
        <v>101</v>
      </c>
      <c r="AA338" s="125">
        <f t="shared" si="211"/>
        <v>2008.8</v>
      </c>
      <c r="AB338" s="106">
        <f t="shared" si="212"/>
        <v>100</v>
      </c>
      <c r="AC338" s="98">
        <f t="shared" si="201"/>
        <v>172455.48</v>
      </c>
      <c r="AD338" s="145" t="s">
        <v>9</v>
      </c>
      <c r="AE338" s="146">
        <v>9636</v>
      </c>
      <c r="AF338" s="146"/>
      <c r="AG338" s="125">
        <f>AG337</f>
        <v>11.87</v>
      </c>
      <c r="AH338" s="98">
        <f t="shared" si="202"/>
        <v>114379.32</v>
      </c>
      <c r="AI338" s="147">
        <f t="shared" si="203"/>
        <v>286834.8</v>
      </c>
    </row>
    <row r="339" spans="1:35" ht="30" customHeight="1" x14ac:dyDescent="0.15">
      <c r="A339" s="232" t="s">
        <v>74</v>
      </c>
      <c r="B339" s="233">
        <f t="shared" si="204"/>
        <v>101</v>
      </c>
      <c r="C339" s="234">
        <f t="shared" si="205"/>
        <v>1296</v>
      </c>
      <c r="D339" s="235">
        <f t="shared" si="206"/>
        <v>100</v>
      </c>
      <c r="E339" s="228">
        <f t="shared" si="195"/>
        <v>111261.6</v>
      </c>
      <c r="F339" s="229" t="s">
        <v>9</v>
      </c>
      <c r="G339" s="230">
        <v>9258</v>
      </c>
      <c r="H339" s="230"/>
      <c r="I339" s="234">
        <f>I338</f>
        <v>16.87</v>
      </c>
      <c r="J339" s="228">
        <f t="shared" si="196"/>
        <v>156182.46</v>
      </c>
      <c r="K339" s="231">
        <f t="shared" si="197"/>
        <v>267444.06</v>
      </c>
      <c r="L339" s="2"/>
      <c r="M339" s="148" t="s">
        <v>74</v>
      </c>
      <c r="N339" s="149">
        <f t="shared" si="207"/>
        <v>101</v>
      </c>
      <c r="O339" s="125">
        <f t="shared" si="208"/>
        <v>2008.8</v>
      </c>
      <c r="P339" s="106">
        <f t="shared" si="209"/>
        <v>100</v>
      </c>
      <c r="Q339" s="98">
        <f t="shared" si="198"/>
        <v>172455.48</v>
      </c>
      <c r="R339" s="145" t="s">
        <v>9</v>
      </c>
      <c r="S339" s="146">
        <v>9258</v>
      </c>
      <c r="T339" s="146"/>
      <c r="U339" s="125">
        <f>U338</f>
        <v>11.87</v>
      </c>
      <c r="V339" s="98">
        <f t="shared" si="199"/>
        <v>109892.46</v>
      </c>
      <c r="W339" s="147">
        <f t="shared" si="200"/>
        <v>282347.94</v>
      </c>
      <c r="X339" s="2"/>
      <c r="Y339" s="148" t="s">
        <v>74</v>
      </c>
      <c r="Z339" s="149">
        <f t="shared" si="210"/>
        <v>101</v>
      </c>
      <c r="AA339" s="125">
        <f t="shared" si="211"/>
        <v>2008.8</v>
      </c>
      <c r="AB339" s="106">
        <f t="shared" si="212"/>
        <v>100</v>
      </c>
      <c r="AC339" s="98">
        <f t="shared" si="201"/>
        <v>172455.48</v>
      </c>
      <c r="AD339" s="145" t="s">
        <v>9</v>
      </c>
      <c r="AE339" s="146">
        <v>9258</v>
      </c>
      <c r="AF339" s="146"/>
      <c r="AG339" s="125">
        <f>AG338</f>
        <v>11.87</v>
      </c>
      <c r="AH339" s="98">
        <f t="shared" si="202"/>
        <v>109892.46</v>
      </c>
      <c r="AI339" s="147">
        <f t="shared" si="203"/>
        <v>282347.94</v>
      </c>
    </row>
    <row r="340" spans="1:35" ht="30" customHeight="1" x14ac:dyDescent="0.15">
      <c r="A340" s="232" t="s">
        <v>75</v>
      </c>
      <c r="B340" s="233">
        <f t="shared" si="204"/>
        <v>101</v>
      </c>
      <c r="C340" s="234">
        <f t="shared" si="205"/>
        <v>1296</v>
      </c>
      <c r="D340" s="235">
        <f t="shared" si="206"/>
        <v>100</v>
      </c>
      <c r="E340" s="228">
        <f t="shared" si="195"/>
        <v>111261.6</v>
      </c>
      <c r="F340" s="229" t="s">
        <v>9</v>
      </c>
      <c r="G340" s="230">
        <v>8988</v>
      </c>
      <c r="H340" s="230"/>
      <c r="I340" s="234">
        <f>I339</f>
        <v>16.87</v>
      </c>
      <c r="J340" s="228">
        <f t="shared" si="196"/>
        <v>151627.56</v>
      </c>
      <c r="K340" s="231">
        <f t="shared" si="197"/>
        <v>262889.15999999997</v>
      </c>
      <c r="L340" s="2"/>
      <c r="M340" s="148" t="s">
        <v>75</v>
      </c>
      <c r="N340" s="149">
        <f t="shared" si="207"/>
        <v>101</v>
      </c>
      <c r="O340" s="125">
        <f t="shared" si="208"/>
        <v>2008.8</v>
      </c>
      <c r="P340" s="106">
        <f t="shared" si="209"/>
        <v>100</v>
      </c>
      <c r="Q340" s="98">
        <f t="shared" si="198"/>
        <v>172455.48</v>
      </c>
      <c r="R340" s="145" t="s">
        <v>9</v>
      </c>
      <c r="S340" s="146">
        <v>8988</v>
      </c>
      <c r="T340" s="146"/>
      <c r="U340" s="125">
        <f>U339</f>
        <v>11.87</v>
      </c>
      <c r="V340" s="98">
        <f t="shared" si="199"/>
        <v>106687.56</v>
      </c>
      <c r="W340" s="147">
        <f t="shared" si="200"/>
        <v>279143.03999999998</v>
      </c>
      <c r="X340" s="2"/>
      <c r="Y340" s="148" t="s">
        <v>75</v>
      </c>
      <c r="Z340" s="149">
        <f t="shared" si="210"/>
        <v>101</v>
      </c>
      <c r="AA340" s="125">
        <f t="shared" si="211"/>
        <v>2008.8</v>
      </c>
      <c r="AB340" s="106">
        <f t="shared" si="212"/>
        <v>100</v>
      </c>
      <c r="AC340" s="98">
        <f t="shared" si="201"/>
        <v>172455.48</v>
      </c>
      <c r="AD340" s="145" t="s">
        <v>9</v>
      </c>
      <c r="AE340" s="146">
        <v>8988</v>
      </c>
      <c r="AF340" s="146"/>
      <c r="AG340" s="125">
        <f>AG339</f>
        <v>11.87</v>
      </c>
      <c r="AH340" s="98">
        <f t="shared" si="202"/>
        <v>106687.56</v>
      </c>
      <c r="AI340" s="147">
        <f t="shared" si="203"/>
        <v>279143.03999999998</v>
      </c>
    </row>
    <row r="341" spans="1:35" ht="30" customHeight="1" x14ac:dyDescent="0.15">
      <c r="A341" s="232" t="s">
        <v>76</v>
      </c>
      <c r="B341" s="233">
        <f t="shared" si="204"/>
        <v>101</v>
      </c>
      <c r="C341" s="234">
        <f t="shared" si="205"/>
        <v>1296</v>
      </c>
      <c r="D341" s="235">
        <f t="shared" si="206"/>
        <v>100</v>
      </c>
      <c r="E341" s="228">
        <f t="shared" si="195"/>
        <v>111261.6</v>
      </c>
      <c r="F341" s="229" t="s">
        <v>9</v>
      </c>
      <c r="G341" s="230">
        <v>10272</v>
      </c>
      <c r="H341" s="230"/>
      <c r="I341" s="234">
        <f>I340</f>
        <v>16.87</v>
      </c>
      <c r="J341" s="228">
        <f t="shared" si="196"/>
        <v>173288.64</v>
      </c>
      <c r="K341" s="231">
        <f t="shared" si="197"/>
        <v>284550.24</v>
      </c>
      <c r="L341" s="2"/>
      <c r="M341" s="148" t="s">
        <v>76</v>
      </c>
      <c r="N341" s="149">
        <f t="shared" si="207"/>
        <v>101</v>
      </c>
      <c r="O341" s="125">
        <f t="shared" si="208"/>
        <v>2008.8</v>
      </c>
      <c r="P341" s="106">
        <f t="shared" si="209"/>
        <v>100</v>
      </c>
      <c r="Q341" s="98">
        <f t="shared" si="198"/>
        <v>172455.48</v>
      </c>
      <c r="R341" s="145" t="s">
        <v>9</v>
      </c>
      <c r="S341" s="146">
        <v>10272</v>
      </c>
      <c r="T341" s="146"/>
      <c r="U341" s="125">
        <f>U340</f>
        <v>11.87</v>
      </c>
      <c r="V341" s="98">
        <f t="shared" si="199"/>
        <v>121928.64</v>
      </c>
      <c r="W341" s="147">
        <f t="shared" si="200"/>
        <v>294384.12</v>
      </c>
      <c r="X341" s="2"/>
      <c r="Y341" s="148" t="s">
        <v>76</v>
      </c>
      <c r="Z341" s="149">
        <f t="shared" si="210"/>
        <v>101</v>
      </c>
      <c r="AA341" s="125">
        <f t="shared" si="211"/>
        <v>2008.8</v>
      </c>
      <c r="AB341" s="106">
        <f t="shared" si="212"/>
        <v>100</v>
      </c>
      <c r="AC341" s="98">
        <f t="shared" si="201"/>
        <v>172455.48</v>
      </c>
      <c r="AD341" s="145" t="s">
        <v>9</v>
      </c>
      <c r="AE341" s="146">
        <v>10272</v>
      </c>
      <c r="AF341" s="146"/>
      <c r="AG341" s="125">
        <f>AG340</f>
        <v>11.87</v>
      </c>
      <c r="AH341" s="98">
        <f t="shared" si="202"/>
        <v>121928.64</v>
      </c>
      <c r="AI341" s="147">
        <f t="shared" si="203"/>
        <v>294384.12</v>
      </c>
    </row>
    <row r="342" spans="1:35" ht="30" customHeight="1" x14ac:dyDescent="0.15">
      <c r="A342" s="232" t="s">
        <v>77</v>
      </c>
      <c r="B342" s="233">
        <f t="shared" si="204"/>
        <v>101</v>
      </c>
      <c r="C342" s="234">
        <f t="shared" si="205"/>
        <v>1296</v>
      </c>
      <c r="D342" s="235">
        <f t="shared" si="206"/>
        <v>100</v>
      </c>
      <c r="E342" s="228">
        <f t="shared" si="195"/>
        <v>111261.6</v>
      </c>
      <c r="F342" s="229" t="s">
        <v>71</v>
      </c>
      <c r="G342" s="230">
        <v>11370</v>
      </c>
      <c r="H342" s="230"/>
      <c r="I342" s="226">
        <v>18.29</v>
      </c>
      <c r="J342" s="228">
        <f t="shared" si="196"/>
        <v>207957.3</v>
      </c>
      <c r="K342" s="231">
        <f t="shared" si="197"/>
        <v>319218.90000000002</v>
      </c>
      <c r="L342" s="2"/>
      <c r="M342" s="148" t="s">
        <v>77</v>
      </c>
      <c r="N342" s="149">
        <f t="shared" si="207"/>
        <v>101</v>
      </c>
      <c r="O342" s="125">
        <f t="shared" si="208"/>
        <v>2008.8</v>
      </c>
      <c r="P342" s="106">
        <f t="shared" si="209"/>
        <v>100</v>
      </c>
      <c r="Q342" s="98">
        <f t="shared" si="198"/>
        <v>172455.48</v>
      </c>
      <c r="R342" s="145" t="s">
        <v>71</v>
      </c>
      <c r="S342" s="146">
        <v>11370</v>
      </c>
      <c r="T342" s="146"/>
      <c r="U342" s="124">
        <v>12.78</v>
      </c>
      <c r="V342" s="98">
        <f t="shared" si="199"/>
        <v>145308.6</v>
      </c>
      <c r="W342" s="147">
        <f t="shared" si="200"/>
        <v>317764.08</v>
      </c>
      <c r="X342" s="2"/>
      <c r="Y342" s="148" t="s">
        <v>77</v>
      </c>
      <c r="Z342" s="149">
        <f t="shared" si="210"/>
        <v>101</v>
      </c>
      <c r="AA342" s="125">
        <f t="shared" si="211"/>
        <v>2008.8</v>
      </c>
      <c r="AB342" s="106">
        <f t="shared" si="212"/>
        <v>100</v>
      </c>
      <c r="AC342" s="98">
        <f t="shared" si="201"/>
        <v>172455.48</v>
      </c>
      <c r="AD342" s="145" t="s">
        <v>71</v>
      </c>
      <c r="AE342" s="146">
        <v>11370</v>
      </c>
      <c r="AF342" s="146"/>
      <c r="AG342" s="124">
        <v>12.78</v>
      </c>
      <c r="AH342" s="98">
        <f t="shared" si="202"/>
        <v>145308.6</v>
      </c>
      <c r="AI342" s="147">
        <f t="shared" si="203"/>
        <v>317764.08</v>
      </c>
    </row>
    <row r="343" spans="1:35" ht="30" customHeight="1" x14ac:dyDescent="0.15">
      <c r="A343" s="232" t="s">
        <v>78</v>
      </c>
      <c r="B343" s="233">
        <f t="shared" si="204"/>
        <v>101</v>
      </c>
      <c r="C343" s="234">
        <f t="shared" si="205"/>
        <v>1296</v>
      </c>
      <c r="D343" s="235">
        <f t="shared" si="206"/>
        <v>100</v>
      </c>
      <c r="E343" s="228">
        <f t="shared" si="195"/>
        <v>111261.6</v>
      </c>
      <c r="F343" s="229" t="s">
        <v>71</v>
      </c>
      <c r="G343" s="230">
        <v>9090</v>
      </c>
      <c r="H343" s="230"/>
      <c r="I343" s="234">
        <f>I342</f>
        <v>18.29</v>
      </c>
      <c r="J343" s="228">
        <f t="shared" si="196"/>
        <v>166256.1</v>
      </c>
      <c r="K343" s="231">
        <f t="shared" si="197"/>
        <v>277517.7</v>
      </c>
      <c r="L343" s="2"/>
      <c r="M343" s="148" t="s">
        <v>78</v>
      </c>
      <c r="N343" s="149">
        <f t="shared" si="207"/>
        <v>101</v>
      </c>
      <c r="O343" s="125">
        <f t="shared" si="208"/>
        <v>2008.8</v>
      </c>
      <c r="P343" s="106">
        <f t="shared" si="209"/>
        <v>100</v>
      </c>
      <c r="Q343" s="98">
        <f t="shared" si="198"/>
        <v>172455.48</v>
      </c>
      <c r="R343" s="145" t="s">
        <v>71</v>
      </c>
      <c r="S343" s="146">
        <v>9090</v>
      </c>
      <c r="T343" s="146"/>
      <c r="U343" s="125">
        <f>U342</f>
        <v>12.78</v>
      </c>
      <c r="V343" s="98">
        <f t="shared" si="199"/>
        <v>116170.2</v>
      </c>
      <c r="W343" s="147">
        <f t="shared" si="200"/>
        <v>288625.68</v>
      </c>
      <c r="X343" s="2"/>
      <c r="Y343" s="148" t="s">
        <v>78</v>
      </c>
      <c r="Z343" s="149">
        <f t="shared" si="210"/>
        <v>101</v>
      </c>
      <c r="AA343" s="125">
        <f t="shared" si="211"/>
        <v>2008.8</v>
      </c>
      <c r="AB343" s="106">
        <f t="shared" si="212"/>
        <v>100</v>
      </c>
      <c r="AC343" s="98">
        <f t="shared" si="201"/>
        <v>172455.48</v>
      </c>
      <c r="AD343" s="145" t="s">
        <v>71</v>
      </c>
      <c r="AE343" s="146">
        <v>9090</v>
      </c>
      <c r="AF343" s="146"/>
      <c r="AG343" s="125">
        <f>AG342</f>
        <v>12.78</v>
      </c>
      <c r="AH343" s="98">
        <f t="shared" si="202"/>
        <v>116170.2</v>
      </c>
      <c r="AI343" s="147">
        <f t="shared" si="203"/>
        <v>288625.68</v>
      </c>
    </row>
    <row r="344" spans="1:35" ht="30" customHeight="1" x14ac:dyDescent="0.15">
      <c r="A344" s="232" t="s">
        <v>79</v>
      </c>
      <c r="B344" s="233">
        <f t="shared" si="204"/>
        <v>101</v>
      </c>
      <c r="C344" s="234">
        <f t="shared" si="205"/>
        <v>1296</v>
      </c>
      <c r="D344" s="235">
        <f t="shared" si="206"/>
        <v>100</v>
      </c>
      <c r="E344" s="228">
        <f t="shared" si="195"/>
        <v>111261.6</v>
      </c>
      <c r="F344" s="229" t="s">
        <v>71</v>
      </c>
      <c r="G344" s="230">
        <f>9562+2390</f>
        <v>11952</v>
      </c>
      <c r="H344" s="230"/>
      <c r="I344" s="234">
        <f>I343</f>
        <v>18.29</v>
      </c>
      <c r="J344" s="228">
        <f t="shared" si="196"/>
        <v>218602.08</v>
      </c>
      <c r="K344" s="231">
        <f t="shared" si="197"/>
        <v>329863.67999999999</v>
      </c>
      <c r="L344" s="2"/>
      <c r="M344" s="148" t="s">
        <v>79</v>
      </c>
      <c r="N344" s="149">
        <f t="shared" si="207"/>
        <v>101</v>
      </c>
      <c r="O344" s="125">
        <f t="shared" si="208"/>
        <v>2008.8</v>
      </c>
      <c r="P344" s="106">
        <f t="shared" si="209"/>
        <v>100</v>
      </c>
      <c r="Q344" s="98">
        <f t="shared" si="198"/>
        <v>172455.48</v>
      </c>
      <c r="R344" s="145" t="s">
        <v>71</v>
      </c>
      <c r="S344" s="146">
        <f>9562+2390</f>
        <v>11952</v>
      </c>
      <c r="T344" s="146"/>
      <c r="U344" s="125">
        <f>U343</f>
        <v>12.78</v>
      </c>
      <c r="V344" s="98">
        <f t="shared" si="199"/>
        <v>152746.56</v>
      </c>
      <c r="W344" s="147">
        <f t="shared" si="200"/>
        <v>325202.03999999998</v>
      </c>
      <c r="X344" s="2"/>
      <c r="Y344" s="148" t="s">
        <v>79</v>
      </c>
      <c r="Z344" s="149">
        <f t="shared" si="210"/>
        <v>101</v>
      </c>
      <c r="AA344" s="125">
        <f t="shared" si="211"/>
        <v>2008.8</v>
      </c>
      <c r="AB344" s="106">
        <f t="shared" si="212"/>
        <v>100</v>
      </c>
      <c r="AC344" s="98">
        <f t="shared" si="201"/>
        <v>172455.48</v>
      </c>
      <c r="AD344" s="145" t="s">
        <v>71</v>
      </c>
      <c r="AE344" s="146">
        <f>9562+2390</f>
        <v>11952</v>
      </c>
      <c r="AF344" s="146"/>
      <c r="AG344" s="125">
        <f>AG343</f>
        <v>12.78</v>
      </c>
      <c r="AH344" s="98">
        <f t="shared" si="202"/>
        <v>152746.56</v>
      </c>
      <c r="AI344" s="147">
        <f t="shared" si="203"/>
        <v>325202.03999999998</v>
      </c>
    </row>
    <row r="345" spans="1:35" ht="30" customHeight="1" x14ac:dyDescent="0.15">
      <c r="A345" s="232" t="s">
        <v>80</v>
      </c>
      <c r="B345" s="233">
        <f t="shared" si="204"/>
        <v>101</v>
      </c>
      <c r="C345" s="234">
        <f t="shared" si="205"/>
        <v>1296</v>
      </c>
      <c r="D345" s="235">
        <f t="shared" si="206"/>
        <v>100</v>
      </c>
      <c r="E345" s="228">
        <f t="shared" si="195"/>
        <v>111261.6</v>
      </c>
      <c r="F345" s="229" t="s">
        <v>9</v>
      </c>
      <c r="G345" s="230">
        <v>9240</v>
      </c>
      <c r="H345" s="230"/>
      <c r="I345" s="234">
        <f>I336</f>
        <v>16.87</v>
      </c>
      <c r="J345" s="228">
        <f t="shared" si="196"/>
        <v>155878.79999999999</v>
      </c>
      <c r="K345" s="231">
        <f t="shared" si="197"/>
        <v>267140.40000000002</v>
      </c>
      <c r="L345" s="2"/>
      <c r="M345" s="148" t="s">
        <v>80</v>
      </c>
      <c r="N345" s="149">
        <f t="shared" si="207"/>
        <v>101</v>
      </c>
      <c r="O345" s="125">
        <f t="shared" si="208"/>
        <v>2008.8</v>
      </c>
      <c r="P345" s="106">
        <f t="shared" si="209"/>
        <v>100</v>
      </c>
      <c r="Q345" s="98">
        <f t="shared" si="198"/>
        <v>172455.48</v>
      </c>
      <c r="R345" s="145" t="s">
        <v>9</v>
      </c>
      <c r="S345" s="146">
        <v>9240</v>
      </c>
      <c r="T345" s="146"/>
      <c r="U345" s="125">
        <f>U336</f>
        <v>11.87</v>
      </c>
      <c r="V345" s="98">
        <f t="shared" si="199"/>
        <v>109678.8</v>
      </c>
      <c r="W345" s="147">
        <f t="shared" si="200"/>
        <v>282134.28000000003</v>
      </c>
      <c r="X345" s="2"/>
      <c r="Y345" s="148" t="s">
        <v>80</v>
      </c>
      <c r="Z345" s="149">
        <f t="shared" si="210"/>
        <v>101</v>
      </c>
      <c r="AA345" s="125">
        <f t="shared" si="211"/>
        <v>2008.8</v>
      </c>
      <c r="AB345" s="106">
        <f t="shared" si="212"/>
        <v>100</v>
      </c>
      <c r="AC345" s="98">
        <f t="shared" si="201"/>
        <v>172455.48</v>
      </c>
      <c r="AD345" s="145" t="s">
        <v>9</v>
      </c>
      <c r="AE345" s="146">
        <v>9240</v>
      </c>
      <c r="AF345" s="146"/>
      <c r="AG345" s="125">
        <f>AG336</f>
        <v>11.87</v>
      </c>
      <c r="AH345" s="98">
        <f t="shared" si="202"/>
        <v>109678.8</v>
      </c>
      <c r="AI345" s="147">
        <f t="shared" si="203"/>
        <v>282134.28000000003</v>
      </c>
    </row>
    <row r="346" spans="1:35" ht="30" customHeight="1" x14ac:dyDescent="0.15">
      <c r="A346" s="232" t="s">
        <v>81</v>
      </c>
      <c r="B346" s="233">
        <f t="shared" si="204"/>
        <v>101</v>
      </c>
      <c r="C346" s="234">
        <f t="shared" si="205"/>
        <v>1296</v>
      </c>
      <c r="D346" s="235">
        <f t="shared" si="206"/>
        <v>100</v>
      </c>
      <c r="E346" s="228">
        <f t="shared" si="195"/>
        <v>111261.6</v>
      </c>
      <c r="F346" s="229" t="s">
        <v>9</v>
      </c>
      <c r="G346" s="230">
        <v>9846</v>
      </c>
      <c r="H346" s="230"/>
      <c r="I346" s="236">
        <f>I345</f>
        <v>16.87</v>
      </c>
      <c r="J346" s="228">
        <f t="shared" si="196"/>
        <v>166102.01999999999</v>
      </c>
      <c r="K346" s="231">
        <f t="shared" si="197"/>
        <v>277363.62</v>
      </c>
      <c r="L346" s="2"/>
      <c r="M346" s="148" t="s">
        <v>81</v>
      </c>
      <c r="N346" s="149">
        <f t="shared" si="207"/>
        <v>101</v>
      </c>
      <c r="O346" s="125">
        <f t="shared" si="208"/>
        <v>2008.8</v>
      </c>
      <c r="P346" s="106">
        <f t="shared" si="209"/>
        <v>100</v>
      </c>
      <c r="Q346" s="98">
        <f t="shared" si="198"/>
        <v>172455.48</v>
      </c>
      <c r="R346" s="145" t="s">
        <v>9</v>
      </c>
      <c r="S346" s="146">
        <v>9846</v>
      </c>
      <c r="T346" s="146"/>
      <c r="U346" s="127">
        <f>U345</f>
        <v>11.87</v>
      </c>
      <c r="V346" s="98">
        <f t="shared" si="199"/>
        <v>116872.02</v>
      </c>
      <c r="W346" s="147">
        <f t="shared" si="200"/>
        <v>289327.5</v>
      </c>
      <c r="X346" s="2"/>
      <c r="Y346" s="148" t="s">
        <v>81</v>
      </c>
      <c r="Z346" s="149">
        <f t="shared" si="210"/>
        <v>101</v>
      </c>
      <c r="AA346" s="125">
        <f t="shared" si="211"/>
        <v>2008.8</v>
      </c>
      <c r="AB346" s="106">
        <f t="shared" si="212"/>
        <v>100</v>
      </c>
      <c r="AC346" s="98">
        <f t="shared" si="201"/>
        <v>172455.48</v>
      </c>
      <c r="AD346" s="145" t="s">
        <v>9</v>
      </c>
      <c r="AE346" s="146">
        <v>9846</v>
      </c>
      <c r="AF346" s="146"/>
      <c r="AG346" s="127">
        <f>AG345</f>
        <v>11.87</v>
      </c>
      <c r="AH346" s="98">
        <f t="shared" si="202"/>
        <v>116872.02</v>
      </c>
      <c r="AI346" s="147">
        <f t="shared" si="203"/>
        <v>289327.5</v>
      </c>
    </row>
    <row r="347" spans="1:35" ht="30" customHeight="1" thickBot="1" x14ac:dyDescent="0.2">
      <c r="A347" s="237" t="s">
        <v>82</v>
      </c>
      <c r="B347" s="238">
        <f t="shared" si="204"/>
        <v>101</v>
      </c>
      <c r="C347" s="239">
        <f t="shared" si="205"/>
        <v>1296</v>
      </c>
      <c r="D347" s="238">
        <f t="shared" si="206"/>
        <v>100</v>
      </c>
      <c r="E347" s="240">
        <f t="shared" si="195"/>
        <v>111261.6</v>
      </c>
      <c r="F347" s="241" t="s">
        <v>9</v>
      </c>
      <c r="G347" s="242">
        <v>9486</v>
      </c>
      <c r="H347" s="242"/>
      <c r="I347" s="239">
        <f>I346</f>
        <v>16.87</v>
      </c>
      <c r="J347" s="240">
        <f t="shared" si="196"/>
        <v>160028.82</v>
      </c>
      <c r="K347" s="243">
        <f t="shared" si="197"/>
        <v>271290.42</v>
      </c>
      <c r="L347" s="2"/>
      <c r="M347" s="150" t="s">
        <v>82</v>
      </c>
      <c r="N347" s="151">
        <f t="shared" si="207"/>
        <v>101</v>
      </c>
      <c r="O347" s="126">
        <f t="shared" si="208"/>
        <v>2008.8</v>
      </c>
      <c r="P347" s="152">
        <f t="shared" si="209"/>
        <v>100</v>
      </c>
      <c r="Q347" s="99">
        <f t="shared" si="198"/>
        <v>172455.48</v>
      </c>
      <c r="R347" s="153" t="s">
        <v>9</v>
      </c>
      <c r="S347" s="154">
        <v>9486</v>
      </c>
      <c r="T347" s="154"/>
      <c r="U347" s="126">
        <f>U346</f>
        <v>11.87</v>
      </c>
      <c r="V347" s="99">
        <f t="shared" si="199"/>
        <v>112598.82</v>
      </c>
      <c r="W347" s="155">
        <f t="shared" si="200"/>
        <v>285054.3</v>
      </c>
      <c r="X347" s="2"/>
      <c r="Y347" s="150" t="s">
        <v>82</v>
      </c>
      <c r="Z347" s="151">
        <f t="shared" si="210"/>
        <v>101</v>
      </c>
      <c r="AA347" s="126">
        <f t="shared" si="211"/>
        <v>2008.8</v>
      </c>
      <c r="AB347" s="152">
        <f t="shared" si="212"/>
        <v>100</v>
      </c>
      <c r="AC347" s="99">
        <f t="shared" si="201"/>
        <v>172455.48</v>
      </c>
      <c r="AD347" s="153" t="s">
        <v>9</v>
      </c>
      <c r="AE347" s="154">
        <v>9486</v>
      </c>
      <c r="AF347" s="154"/>
      <c r="AG347" s="126">
        <f>AG346</f>
        <v>11.87</v>
      </c>
      <c r="AH347" s="99">
        <f t="shared" si="202"/>
        <v>112598.82</v>
      </c>
      <c r="AI347" s="155">
        <f t="shared" si="203"/>
        <v>285054.3</v>
      </c>
    </row>
    <row r="348" spans="1:35" ht="30" customHeight="1" thickBot="1" x14ac:dyDescent="0.2">
      <c r="A348" s="251" t="s">
        <v>41</v>
      </c>
      <c r="B348" s="245"/>
      <c r="C348" s="245"/>
      <c r="D348" s="245"/>
      <c r="E348" s="246">
        <f>SUM(E336:E347)</f>
        <v>1335139.2000000002</v>
      </c>
      <c r="F348" s="247"/>
      <c r="G348" s="248">
        <f>SUM(G336:G347)</f>
        <v>126126</v>
      </c>
      <c r="H348" s="248"/>
      <c r="I348" s="245"/>
      <c r="J348" s="246">
        <f>SUM(J336:J347)</f>
        <v>2173770.66</v>
      </c>
      <c r="K348" s="249">
        <f>SUM(K336:K347)</f>
        <v>3508909.8600000003</v>
      </c>
      <c r="L348" s="89" t="s">
        <v>113</v>
      </c>
      <c r="M348" s="164" t="s">
        <v>41</v>
      </c>
      <c r="N348" s="157"/>
      <c r="O348" s="157"/>
      <c r="P348" s="157"/>
      <c r="Q348" s="158">
        <f>SUM(Q336:Q347)</f>
        <v>2069465.76</v>
      </c>
      <c r="R348" s="159"/>
      <c r="S348" s="160">
        <f>SUM(S336:S347)</f>
        <v>126126</v>
      </c>
      <c r="T348" s="160"/>
      <c r="U348" s="157"/>
      <c r="V348" s="158">
        <f>SUM(V336:V347)</f>
        <v>1526610.54</v>
      </c>
      <c r="W348" s="161">
        <f>SUM(W336:W347)</f>
        <v>3596076.3</v>
      </c>
      <c r="X348" s="89" t="s">
        <v>113</v>
      </c>
      <c r="Y348" s="164" t="s">
        <v>41</v>
      </c>
      <c r="Z348" s="157"/>
      <c r="AA348" s="157"/>
      <c r="AB348" s="157"/>
      <c r="AC348" s="158">
        <f>SUM(AC336:AC347)</f>
        <v>2069465.76</v>
      </c>
      <c r="AD348" s="159"/>
      <c r="AE348" s="160">
        <f>SUM(AE336:AE347)</f>
        <v>126126</v>
      </c>
      <c r="AF348" s="160"/>
      <c r="AG348" s="157"/>
      <c r="AH348" s="158">
        <f>SUM(AH336:AH347)</f>
        <v>1526610.54</v>
      </c>
      <c r="AI348" s="161">
        <f>SUM(AI336:AI347)</f>
        <v>3596076.3</v>
      </c>
    </row>
    <row r="349" spans="1:35" ht="15" customHeight="1" x14ac:dyDescent="0.15">
      <c r="A349" s="214"/>
      <c r="B349" s="250"/>
      <c r="C349" s="250"/>
      <c r="D349" s="250"/>
      <c r="E349" s="250"/>
      <c r="F349" s="250"/>
      <c r="G349" s="250"/>
      <c r="H349" s="250"/>
      <c r="I349" s="250"/>
      <c r="J349" s="250"/>
      <c r="K349" s="250"/>
      <c r="L349" s="89"/>
      <c r="N349" s="162"/>
      <c r="O349" s="162"/>
      <c r="P349" s="162"/>
      <c r="Q349" s="162"/>
      <c r="R349" s="162"/>
      <c r="S349" s="162"/>
      <c r="T349" s="162"/>
      <c r="U349" s="162"/>
      <c r="V349" s="162"/>
      <c r="W349" s="162"/>
      <c r="X349" s="89"/>
      <c r="Z349" s="162"/>
      <c r="AA349" s="162"/>
      <c r="AB349" s="162"/>
      <c r="AC349" s="162"/>
      <c r="AD349" s="162"/>
      <c r="AE349" s="162"/>
      <c r="AF349" s="162"/>
      <c r="AG349" s="162"/>
      <c r="AH349" s="162"/>
      <c r="AI349" s="162"/>
    </row>
    <row r="350" spans="1:35" x14ac:dyDescent="0.15">
      <c r="A350" s="211" t="s">
        <v>153</v>
      </c>
      <c r="B350" s="212">
        <f>B325+1</f>
        <v>13</v>
      </c>
      <c r="C350" s="213"/>
      <c r="D350" s="213"/>
      <c r="E350" s="213"/>
      <c r="F350" s="213"/>
      <c r="G350" s="213"/>
      <c r="H350" s="213"/>
      <c r="I350" s="213"/>
      <c r="J350" s="213"/>
      <c r="K350" s="692" t="str">
        <f>IF(K373-W373&lt;=0,"現状のまま","メニュー変更")</f>
        <v>現状のまま</v>
      </c>
      <c r="L350" s="2"/>
      <c r="M350" s="47" t="s">
        <v>153</v>
      </c>
      <c r="N350" s="62">
        <f>N325+1</f>
        <v>13</v>
      </c>
      <c r="X350" s="2"/>
      <c r="Y350" s="47" t="s">
        <v>153</v>
      </c>
      <c r="Z350" s="62" t="e">
        <f>Z325+1</f>
        <v>#REF!</v>
      </c>
    </row>
    <row r="351" spans="1:35" x14ac:dyDescent="0.15">
      <c r="A351" s="214"/>
      <c r="B351" s="213"/>
      <c r="C351" s="213"/>
      <c r="D351" s="213"/>
      <c r="E351" s="213"/>
      <c r="F351" s="213"/>
      <c r="G351" s="213"/>
      <c r="H351" s="213"/>
      <c r="I351" s="213"/>
      <c r="J351" s="213"/>
      <c r="K351" s="692"/>
      <c r="L351" s="2"/>
      <c r="X351" s="2"/>
    </row>
    <row r="352" spans="1:35" x14ac:dyDescent="0.15">
      <c r="A352" s="214"/>
      <c r="B352" s="213"/>
      <c r="C352" s="213"/>
      <c r="D352" s="213"/>
      <c r="E352" s="213"/>
      <c r="F352" s="213"/>
      <c r="G352" s="213"/>
      <c r="H352" s="213"/>
      <c r="I352" s="213"/>
      <c r="J352" s="213"/>
      <c r="K352" s="692"/>
      <c r="L352" s="2"/>
      <c r="X352" s="2"/>
    </row>
    <row r="353" spans="1:35" ht="17.25" x14ac:dyDescent="0.15">
      <c r="A353" s="694" t="str">
        <f>$A$5</f>
        <v>平成29年度小郡市役所庁舎外25施設電力需給</v>
      </c>
      <c r="B353" s="694"/>
      <c r="C353" s="694"/>
      <c r="D353" s="694"/>
      <c r="E353" s="694"/>
      <c r="F353" s="694"/>
      <c r="G353" s="694"/>
      <c r="H353" s="694"/>
      <c r="I353" s="694"/>
      <c r="J353" s="694"/>
      <c r="K353" s="694"/>
      <c r="L353" s="2"/>
      <c r="M353" s="553" t="str">
        <f>$A$5</f>
        <v>平成29年度小郡市役所庁舎外25施設電力需給</v>
      </c>
      <c r="N353" s="553"/>
      <c r="O353" s="553"/>
      <c r="P353" s="553"/>
      <c r="Q353" s="553"/>
      <c r="R353" s="553"/>
      <c r="S353" s="553"/>
      <c r="T353" s="553"/>
      <c r="U353" s="553"/>
      <c r="V353" s="553"/>
      <c r="W353" s="553"/>
      <c r="X353" s="2"/>
      <c r="Y353" s="553" t="str">
        <f>$A$5</f>
        <v>平成29年度小郡市役所庁舎外25施設電力需給</v>
      </c>
      <c r="Z353" s="553"/>
      <c r="AA353" s="553"/>
      <c r="AB353" s="553"/>
      <c r="AC353" s="553"/>
      <c r="AD353" s="553"/>
      <c r="AE353" s="553"/>
      <c r="AF353" s="553"/>
      <c r="AG353" s="553"/>
      <c r="AH353" s="553"/>
      <c r="AI353" s="553"/>
    </row>
    <row r="354" spans="1:35" x14ac:dyDescent="0.15">
      <c r="A354" s="689" t="str">
        <f>$A$6</f>
        <v>（平成３０年１月～平成３０年１２月期間中の予定金額）</v>
      </c>
      <c r="B354" s="689"/>
      <c r="C354" s="689"/>
      <c r="D354" s="689"/>
      <c r="E354" s="689"/>
      <c r="F354" s="689"/>
      <c r="G354" s="689"/>
      <c r="H354" s="689"/>
      <c r="I354" s="689"/>
      <c r="J354" s="689"/>
      <c r="K354" s="689"/>
      <c r="L354" s="2"/>
      <c r="M354" s="555" t="str">
        <f>$A$6</f>
        <v>（平成３０年１月～平成３０年１２月期間中の予定金額）</v>
      </c>
      <c r="N354" s="555"/>
      <c r="O354" s="555"/>
      <c r="P354" s="555"/>
      <c r="Q354" s="555"/>
      <c r="R354" s="555"/>
      <c r="S354" s="555"/>
      <c r="T354" s="555"/>
      <c r="U354" s="555"/>
      <c r="V354" s="555"/>
      <c r="W354" s="555"/>
      <c r="X354" s="2"/>
      <c r="Y354" s="555" t="str">
        <f>$A$6</f>
        <v>（平成３０年１月～平成３０年１２月期間中の予定金額）</v>
      </c>
      <c r="Z354" s="555"/>
      <c r="AA354" s="555"/>
      <c r="AB354" s="555"/>
      <c r="AC354" s="555"/>
      <c r="AD354" s="555"/>
      <c r="AE354" s="555"/>
      <c r="AF354" s="555"/>
      <c r="AG354" s="555"/>
      <c r="AH354" s="555"/>
      <c r="AI354" s="555"/>
    </row>
    <row r="355" spans="1:35" ht="14.25" thickBot="1" x14ac:dyDescent="0.2">
      <c r="A355" s="252" t="s">
        <v>137</v>
      </c>
      <c r="B355" s="213"/>
      <c r="C355" s="213"/>
      <c r="D355" s="213"/>
      <c r="E355" s="213"/>
      <c r="F355" s="213"/>
      <c r="G355" s="213"/>
      <c r="H355" s="213"/>
      <c r="I355" s="213"/>
      <c r="J355" s="213"/>
      <c r="K355" s="211" t="s">
        <v>84</v>
      </c>
      <c r="L355" s="2"/>
      <c r="M355" s="165" t="s">
        <v>137</v>
      </c>
      <c r="W355" s="47" t="s">
        <v>70</v>
      </c>
      <c r="X355" s="2"/>
      <c r="Y355" s="165" t="s">
        <v>137</v>
      </c>
      <c r="AI355" s="47" t="s">
        <v>70</v>
      </c>
    </row>
    <row r="356" spans="1:35" ht="18" customHeight="1" thickBot="1" x14ac:dyDescent="0.2">
      <c r="A356" s="695" t="s">
        <v>33</v>
      </c>
      <c r="B356" s="683" t="s">
        <v>24</v>
      </c>
      <c r="C356" s="684"/>
      <c r="D356" s="684"/>
      <c r="E356" s="685"/>
      <c r="F356" s="686" t="s">
        <v>34</v>
      </c>
      <c r="G356" s="687"/>
      <c r="H356" s="687"/>
      <c r="I356" s="687"/>
      <c r="J356" s="688"/>
      <c r="K356" s="667" t="s">
        <v>35</v>
      </c>
      <c r="L356" s="2"/>
      <c r="M356" s="567" t="s">
        <v>33</v>
      </c>
      <c r="N356" s="570" t="s">
        <v>24</v>
      </c>
      <c r="O356" s="571"/>
      <c r="P356" s="571"/>
      <c r="Q356" s="572"/>
      <c r="R356" s="573" t="s">
        <v>34</v>
      </c>
      <c r="S356" s="574"/>
      <c r="T356" s="574"/>
      <c r="U356" s="574"/>
      <c r="V356" s="575"/>
      <c r="W356" s="544" t="s">
        <v>35</v>
      </c>
      <c r="X356" s="2"/>
      <c r="Y356" s="567" t="s">
        <v>33</v>
      </c>
      <c r="Z356" s="570" t="s">
        <v>24</v>
      </c>
      <c r="AA356" s="571"/>
      <c r="AB356" s="571"/>
      <c r="AC356" s="572"/>
      <c r="AD356" s="573" t="s">
        <v>34</v>
      </c>
      <c r="AE356" s="574"/>
      <c r="AF356" s="574"/>
      <c r="AG356" s="574"/>
      <c r="AH356" s="575"/>
      <c r="AI356" s="544" t="s">
        <v>35</v>
      </c>
    </row>
    <row r="357" spans="1:35" ht="13.5" customHeight="1" x14ac:dyDescent="0.15">
      <c r="A357" s="696"/>
      <c r="B357" s="669" t="s">
        <v>28</v>
      </c>
      <c r="C357" s="667" t="s">
        <v>29</v>
      </c>
      <c r="D357" s="669" t="s">
        <v>25</v>
      </c>
      <c r="E357" s="678" t="s">
        <v>31</v>
      </c>
      <c r="F357" s="679" t="s">
        <v>36</v>
      </c>
      <c r="G357" s="680"/>
      <c r="H357" s="216"/>
      <c r="I357" s="667" t="s">
        <v>37</v>
      </c>
      <c r="J357" s="669" t="s">
        <v>38</v>
      </c>
      <c r="K357" s="668"/>
      <c r="L357" s="2"/>
      <c r="M357" s="568"/>
      <c r="N357" s="546" t="s">
        <v>28</v>
      </c>
      <c r="O357" s="544" t="s">
        <v>29</v>
      </c>
      <c r="P357" s="546" t="s">
        <v>25</v>
      </c>
      <c r="Q357" s="582" t="s">
        <v>31</v>
      </c>
      <c r="R357" s="540" t="s">
        <v>36</v>
      </c>
      <c r="S357" s="541"/>
      <c r="T357" s="135"/>
      <c r="U357" s="544" t="s">
        <v>37</v>
      </c>
      <c r="V357" s="546" t="s">
        <v>38</v>
      </c>
      <c r="W357" s="545"/>
      <c r="X357" s="2"/>
      <c r="Y357" s="568"/>
      <c r="Z357" s="546" t="s">
        <v>28</v>
      </c>
      <c r="AA357" s="544" t="s">
        <v>29</v>
      </c>
      <c r="AB357" s="546" t="s">
        <v>25</v>
      </c>
      <c r="AC357" s="582" t="s">
        <v>31</v>
      </c>
      <c r="AD357" s="540" t="s">
        <v>36</v>
      </c>
      <c r="AE357" s="541"/>
      <c r="AF357" s="135"/>
      <c r="AG357" s="544" t="s">
        <v>37</v>
      </c>
      <c r="AH357" s="546" t="s">
        <v>38</v>
      </c>
      <c r="AI357" s="545"/>
    </row>
    <row r="358" spans="1:35" x14ac:dyDescent="0.15">
      <c r="A358" s="696"/>
      <c r="B358" s="669"/>
      <c r="C358" s="668"/>
      <c r="D358" s="669"/>
      <c r="E358" s="669"/>
      <c r="F358" s="681"/>
      <c r="G358" s="682"/>
      <c r="H358" s="217"/>
      <c r="I358" s="668"/>
      <c r="J358" s="669"/>
      <c r="K358" s="668"/>
      <c r="L358" s="2"/>
      <c r="M358" s="568"/>
      <c r="N358" s="546"/>
      <c r="O358" s="545"/>
      <c r="P358" s="546"/>
      <c r="Q358" s="546"/>
      <c r="R358" s="542"/>
      <c r="S358" s="543"/>
      <c r="T358" s="136"/>
      <c r="U358" s="545"/>
      <c r="V358" s="546"/>
      <c r="W358" s="545"/>
      <c r="X358" s="2"/>
      <c r="Y358" s="568"/>
      <c r="Z358" s="546"/>
      <c r="AA358" s="545"/>
      <c r="AB358" s="546"/>
      <c r="AC358" s="546"/>
      <c r="AD358" s="542"/>
      <c r="AE358" s="543"/>
      <c r="AF358" s="136"/>
      <c r="AG358" s="545"/>
      <c r="AH358" s="546"/>
      <c r="AI358" s="545"/>
    </row>
    <row r="359" spans="1:35" ht="23.25" customHeight="1" x14ac:dyDescent="0.15">
      <c r="A359" s="696"/>
      <c r="B359" s="218" t="s">
        <v>13</v>
      </c>
      <c r="C359" s="219" t="s">
        <v>30</v>
      </c>
      <c r="D359" s="218" t="s">
        <v>14</v>
      </c>
      <c r="E359" s="218" t="s">
        <v>40</v>
      </c>
      <c r="F359" s="665" t="s">
        <v>15</v>
      </c>
      <c r="G359" s="666"/>
      <c r="H359" s="220"/>
      <c r="I359" s="219" t="s">
        <v>30</v>
      </c>
      <c r="J359" s="218" t="s">
        <v>40</v>
      </c>
      <c r="K359" s="218" t="s">
        <v>40</v>
      </c>
      <c r="L359" s="2"/>
      <c r="M359" s="568"/>
      <c r="N359" s="137" t="s">
        <v>152</v>
      </c>
      <c r="O359" s="138" t="s">
        <v>30</v>
      </c>
      <c r="P359" s="137" t="s">
        <v>14</v>
      </c>
      <c r="Q359" s="137" t="s">
        <v>40</v>
      </c>
      <c r="R359" s="549" t="s">
        <v>15</v>
      </c>
      <c r="S359" s="550"/>
      <c r="T359" s="139"/>
      <c r="U359" s="138" t="s">
        <v>30</v>
      </c>
      <c r="V359" s="137" t="s">
        <v>40</v>
      </c>
      <c r="W359" s="137" t="s">
        <v>40</v>
      </c>
      <c r="X359" s="2"/>
      <c r="Y359" s="568"/>
      <c r="Z359" s="137" t="s">
        <v>152</v>
      </c>
      <c r="AA359" s="138" t="s">
        <v>30</v>
      </c>
      <c r="AB359" s="137" t="s">
        <v>14</v>
      </c>
      <c r="AC359" s="137" t="s">
        <v>40</v>
      </c>
      <c r="AD359" s="549" t="s">
        <v>15</v>
      </c>
      <c r="AE359" s="550"/>
      <c r="AF359" s="139"/>
      <c r="AG359" s="138" t="s">
        <v>30</v>
      </c>
      <c r="AH359" s="137" t="s">
        <v>40</v>
      </c>
      <c r="AI359" s="137" t="s">
        <v>40</v>
      </c>
    </row>
    <row r="360" spans="1:35" ht="15.75" customHeight="1" thickBot="1" x14ac:dyDescent="0.2">
      <c r="A360" s="697"/>
      <c r="B360" s="221" t="s">
        <v>16</v>
      </c>
      <c r="C360" s="221" t="s">
        <v>17</v>
      </c>
      <c r="D360" s="221" t="s">
        <v>18</v>
      </c>
      <c r="E360" s="221" t="s">
        <v>19</v>
      </c>
      <c r="F360" s="222"/>
      <c r="G360" s="223" t="s">
        <v>20</v>
      </c>
      <c r="H360" s="223"/>
      <c r="I360" s="221" t="s">
        <v>21</v>
      </c>
      <c r="J360" s="221" t="s">
        <v>22</v>
      </c>
      <c r="K360" s="223" t="s">
        <v>23</v>
      </c>
      <c r="L360" s="2"/>
      <c r="M360" s="569"/>
      <c r="N360" s="122" t="s">
        <v>16</v>
      </c>
      <c r="O360" s="122" t="s">
        <v>17</v>
      </c>
      <c r="P360" s="122" t="s">
        <v>18</v>
      </c>
      <c r="Q360" s="122" t="s">
        <v>19</v>
      </c>
      <c r="R360" s="140"/>
      <c r="S360" s="141" t="s">
        <v>20</v>
      </c>
      <c r="T360" s="141"/>
      <c r="U360" s="122" t="s">
        <v>21</v>
      </c>
      <c r="V360" s="122" t="s">
        <v>22</v>
      </c>
      <c r="W360" s="141" t="s">
        <v>23</v>
      </c>
      <c r="X360" s="2"/>
      <c r="Y360" s="569"/>
      <c r="Z360" s="122" t="s">
        <v>16</v>
      </c>
      <c r="AA360" s="122" t="s">
        <v>17</v>
      </c>
      <c r="AB360" s="122" t="s">
        <v>18</v>
      </c>
      <c r="AC360" s="122" t="s">
        <v>19</v>
      </c>
      <c r="AD360" s="140"/>
      <c r="AE360" s="141" t="s">
        <v>20</v>
      </c>
      <c r="AF360" s="141"/>
      <c r="AG360" s="122" t="s">
        <v>21</v>
      </c>
      <c r="AH360" s="122" t="s">
        <v>22</v>
      </c>
      <c r="AI360" s="141" t="s">
        <v>23</v>
      </c>
    </row>
    <row r="361" spans="1:35" ht="30" customHeight="1" x14ac:dyDescent="0.15">
      <c r="A361" s="224" t="s">
        <v>83</v>
      </c>
      <c r="B361" s="225">
        <v>72</v>
      </c>
      <c r="C361" s="226">
        <v>1296</v>
      </c>
      <c r="D361" s="225">
        <v>100</v>
      </c>
      <c r="E361" s="228">
        <f t="shared" ref="E361:E372" si="213">ROUNDDOWN(B361*C361*((185-D361)/100),2)</f>
        <v>79315.199999999997</v>
      </c>
      <c r="F361" s="229" t="s">
        <v>85</v>
      </c>
      <c r="G361" s="230">
        <v>8777</v>
      </c>
      <c r="H361" s="230"/>
      <c r="I361" s="226">
        <v>16.87</v>
      </c>
      <c r="J361" s="228">
        <f t="shared" ref="J361:J372" si="214">ROUNDDOWN(G361*I361,2)</f>
        <v>148067.99</v>
      </c>
      <c r="K361" s="231">
        <f t="shared" ref="K361:K372" si="215">ROUNDDOWN(J361+E361,2)</f>
        <v>227383.19</v>
      </c>
      <c r="L361" s="2"/>
      <c r="M361" s="142" t="s">
        <v>83</v>
      </c>
      <c r="N361" s="143">
        <v>72</v>
      </c>
      <c r="O361" s="123">
        <v>2008.8</v>
      </c>
      <c r="P361" s="163">
        <v>100</v>
      </c>
      <c r="Q361" s="98">
        <f t="shared" ref="Q361:Q372" si="216">ROUNDDOWN(N361*O361*((185-P361)/100),2)</f>
        <v>122938.56</v>
      </c>
      <c r="R361" s="145" t="s">
        <v>85</v>
      </c>
      <c r="S361" s="146">
        <v>8777</v>
      </c>
      <c r="T361" s="146"/>
      <c r="U361" s="124">
        <v>11.87</v>
      </c>
      <c r="V361" s="98">
        <f t="shared" ref="V361:V372" si="217">ROUNDDOWN(S361*U361,2)</f>
        <v>104182.99</v>
      </c>
      <c r="W361" s="147">
        <f t="shared" ref="W361:W372" si="218">ROUNDDOWN(V361+Q361,2)</f>
        <v>227121.55</v>
      </c>
      <c r="X361" s="2"/>
      <c r="Y361" s="142" t="s">
        <v>83</v>
      </c>
      <c r="Z361" s="143">
        <v>72</v>
      </c>
      <c r="AA361" s="123">
        <v>2008.8</v>
      </c>
      <c r="AB361" s="163">
        <v>100</v>
      </c>
      <c r="AC361" s="98">
        <f t="shared" ref="AC361:AC372" si="219">ROUNDDOWN(Z361*AA361*((185-AB361)/100),2)</f>
        <v>122938.56</v>
      </c>
      <c r="AD361" s="145" t="s">
        <v>85</v>
      </c>
      <c r="AE361" s="146">
        <v>8777</v>
      </c>
      <c r="AF361" s="146"/>
      <c r="AG361" s="124">
        <v>11.87</v>
      </c>
      <c r="AH361" s="98">
        <f t="shared" ref="AH361:AH372" si="220">ROUNDDOWN(AE361*AG361,2)</f>
        <v>104182.99</v>
      </c>
      <c r="AI361" s="147">
        <f t="shared" ref="AI361:AI372" si="221">ROUNDDOWN(AH361+AC361,2)</f>
        <v>227121.55</v>
      </c>
    </row>
    <row r="362" spans="1:35" ht="30" customHeight="1" x14ac:dyDescent="0.15">
      <c r="A362" s="232" t="s">
        <v>72</v>
      </c>
      <c r="B362" s="233">
        <f t="shared" ref="B362:B372" si="222">B361</f>
        <v>72</v>
      </c>
      <c r="C362" s="234">
        <f t="shared" ref="C362:C372" si="223">C361</f>
        <v>1296</v>
      </c>
      <c r="D362" s="235">
        <f t="shared" ref="D362:D372" si="224">D361</f>
        <v>100</v>
      </c>
      <c r="E362" s="228">
        <f t="shared" si="213"/>
        <v>79315.199999999997</v>
      </c>
      <c r="F362" s="229" t="s">
        <v>112</v>
      </c>
      <c r="G362" s="230">
        <v>7620</v>
      </c>
      <c r="H362" s="230"/>
      <c r="I362" s="234">
        <f>I361</f>
        <v>16.87</v>
      </c>
      <c r="J362" s="228">
        <f t="shared" si="214"/>
        <v>128549.4</v>
      </c>
      <c r="K362" s="231">
        <f t="shared" si="215"/>
        <v>207864.6</v>
      </c>
      <c r="L362" s="2"/>
      <c r="M362" s="148" t="s">
        <v>72</v>
      </c>
      <c r="N362" s="149">
        <f t="shared" ref="N362:N372" si="225">N361</f>
        <v>72</v>
      </c>
      <c r="O362" s="125">
        <f t="shared" ref="O362:O372" si="226">O361</f>
        <v>2008.8</v>
      </c>
      <c r="P362" s="106">
        <f t="shared" ref="P362:P372" si="227">P361</f>
        <v>100</v>
      </c>
      <c r="Q362" s="98">
        <f t="shared" si="216"/>
        <v>122938.56</v>
      </c>
      <c r="R362" s="145" t="s">
        <v>112</v>
      </c>
      <c r="S362" s="146">
        <v>7620</v>
      </c>
      <c r="T362" s="146"/>
      <c r="U362" s="125">
        <f>U361</f>
        <v>11.87</v>
      </c>
      <c r="V362" s="98">
        <f t="shared" si="217"/>
        <v>90449.4</v>
      </c>
      <c r="W362" s="147">
        <f t="shared" si="218"/>
        <v>213387.96</v>
      </c>
      <c r="X362" s="2"/>
      <c r="Y362" s="148" t="s">
        <v>72</v>
      </c>
      <c r="Z362" s="149">
        <f t="shared" ref="Z362:Z372" si="228">Z361</f>
        <v>72</v>
      </c>
      <c r="AA362" s="125">
        <f t="shared" ref="AA362:AA372" si="229">AA361</f>
        <v>2008.8</v>
      </c>
      <c r="AB362" s="106">
        <f t="shared" ref="AB362:AB372" si="230">AB361</f>
        <v>100</v>
      </c>
      <c r="AC362" s="98">
        <f t="shared" si="219"/>
        <v>122938.56</v>
      </c>
      <c r="AD362" s="145" t="s">
        <v>112</v>
      </c>
      <c r="AE362" s="146">
        <v>7620</v>
      </c>
      <c r="AF362" s="146"/>
      <c r="AG362" s="125">
        <f>AG361</f>
        <v>11.87</v>
      </c>
      <c r="AH362" s="98">
        <f t="shared" si="220"/>
        <v>90449.4</v>
      </c>
      <c r="AI362" s="147">
        <f t="shared" si="221"/>
        <v>213387.96</v>
      </c>
    </row>
    <row r="363" spans="1:35" ht="30" customHeight="1" x14ac:dyDescent="0.15">
      <c r="A363" s="232" t="s">
        <v>73</v>
      </c>
      <c r="B363" s="233">
        <f t="shared" si="222"/>
        <v>72</v>
      </c>
      <c r="C363" s="234">
        <f t="shared" si="223"/>
        <v>1296</v>
      </c>
      <c r="D363" s="235">
        <f t="shared" si="224"/>
        <v>100</v>
      </c>
      <c r="E363" s="228">
        <f t="shared" si="213"/>
        <v>79315.199999999997</v>
      </c>
      <c r="F363" s="229" t="s">
        <v>9</v>
      </c>
      <c r="G363" s="230">
        <v>6266</v>
      </c>
      <c r="H363" s="230"/>
      <c r="I363" s="234">
        <f>I362</f>
        <v>16.87</v>
      </c>
      <c r="J363" s="228">
        <f t="shared" si="214"/>
        <v>105707.42</v>
      </c>
      <c r="K363" s="231">
        <f t="shared" si="215"/>
        <v>185022.62</v>
      </c>
      <c r="L363" s="2"/>
      <c r="M363" s="148" t="s">
        <v>73</v>
      </c>
      <c r="N363" s="149">
        <f t="shared" si="225"/>
        <v>72</v>
      </c>
      <c r="O363" s="125">
        <f t="shared" si="226"/>
        <v>2008.8</v>
      </c>
      <c r="P363" s="106">
        <f t="shared" si="227"/>
        <v>100</v>
      </c>
      <c r="Q363" s="98">
        <f t="shared" si="216"/>
        <v>122938.56</v>
      </c>
      <c r="R363" s="145" t="s">
        <v>9</v>
      </c>
      <c r="S363" s="146">
        <v>6266</v>
      </c>
      <c r="T363" s="146"/>
      <c r="U363" s="125">
        <f>U362</f>
        <v>11.87</v>
      </c>
      <c r="V363" s="98">
        <f t="shared" si="217"/>
        <v>74377.42</v>
      </c>
      <c r="W363" s="147">
        <f t="shared" si="218"/>
        <v>197315.98</v>
      </c>
      <c r="X363" s="2"/>
      <c r="Y363" s="148" t="s">
        <v>73</v>
      </c>
      <c r="Z363" s="149">
        <f t="shared" si="228"/>
        <v>72</v>
      </c>
      <c r="AA363" s="125">
        <f t="shared" si="229"/>
        <v>2008.8</v>
      </c>
      <c r="AB363" s="106">
        <f t="shared" si="230"/>
        <v>100</v>
      </c>
      <c r="AC363" s="98">
        <f t="shared" si="219"/>
        <v>122938.56</v>
      </c>
      <c r="AD363" s="145" t="s">
        <v>9</v>
      </c>
      <c r="AE363" s="146">
        <v>6266</v>
      </c>
      <c r="AF363" s="146"/>
      <c r="AG363" s="125">
        <f>AG362</f>
        <v>11.87</v>
      </c>
      <c r="AH363" s="98">
        <f t="shared" si="220"/>
        <v>74377.42</v>
      </c>
      <c r="AI363" s="147">
        <f t="shared" si="221"/>
        <v>197315.98</v>
      </c>
    </row>
    <row r="364" spans="1:35" ht="30" customHeight="1" x14ac:dyDescent="0.15">
      <c r="A364" s="232" t="s">
        <v>74</v>
      </c>
      <c r="B364" s="233">
        <f t="shared" si="222"/>
        <v>72</v>
      </c>
      <c r="C364" s="234">
        <f t="shared" si="223"/>
        <v>1296</v>
      </c>
      <c r="D364" s="235">
        <f t="shared" si="224"/>
        <v>100</v>
      </c>
      <c r="E364" s="228">
        <f t="shared" si="213"/>
        <v>79315.199999999997</v>
      </c>
      <c r="F364" s="229" t="s">
        <v>9</v>
      </c>
      <c r="G364" s="230">
        <v>5251</v>
      </c>
      <c r="H364" s="230"/>
      <c r="I364" s="234">
        <f>I363</f>
        <v>16.87</v>
      </c>
      <c r="J364" s="228">
        <f t="shared" si="214"/>
        <v>88584.37</v>
      </c>
      <c r="K364" s="231">
        <f t="shared" si="215"/>
        <v>167899.57</v>
      </c>
      <c r="L364" s="2"/>
      <c r="M364" s="148" t="s">
        <v>74</v>
      </c>
      <c r="N364" s="149">
        <f t="shared" si="225"/>
        <v>72</v>
      </c>
      <c r="O364" s="125">
        <f t="shared" si="226"/>
        <v>2008.8</v>
      </c>
      <c r="P364" s="106">
        <f t="shared" si="227"/>
        <v>100</v>
      </c>
      <c r="Q364" s="98">
        <f t="shared" si="216"/>
        <v>122938.56</v>
      </c>
      <c r="R364" s="145" t="s">
        <v>9</v>
      </c>
      <c r="S364" s="146">
        <v>5251</v>
      </c>
      <c r="T364" s="146"/>
      <c r="U364" s="125">
        <f>U363</f>
        <v>11.87</v>
      </c>
      <c r="V364" s="98">
        <f t="shared" si="217"/>
        <v>62329.37</v>
      </c>
      <c r="W364" s="147">
        <f t="shared" si="218"/>
        <v>185267.93</v>
      </c>
      <c r="X364" s="2"/>
      <c r="Y364" s="148" t="s">
        <v>74</v>
      </c>
      <c r="Z364" s="149">
        <f t="shared" si="228"/>
        <v>72</v>
      </c>
      <c r="AA364" s="125">
        <f t="shared" si="229"/>
        <v>2008.8</v>
      </c>
      <c r="AB364" s="106">
        <f t="shared" si="230"/>
        <v>100</v>
      </c>
      <c r="AC364" s="98">
        <f t="shared" si="219"/>
        <v>122938.56</v>
      </c>
      <c r="AD364" s="145" t="s">
        <v>9</v>
      </c>
      <c r="AE364" s="146">
        <v>5251</v>
      </c>
      <c r="AF364" s="146"/>
      <c r="AG364" s="125">
        <f>AG363</f>
        <v>11.87</v>
      </c>
      <c r="AH364" s="98">
        <f t="shared" si="220"/>
        <v>62329.37</v>
      </c>
      <c r="AI364" s="147">
        <f t="shared" si="221"/>
        <v>185267.93</v>
      </c>
    </row>
    <row r="365" spans="1:35" ht="30" customHeight="1" x14ac:dyDescent="0.15">
      <c r="A365" s="232" t="s">
        <v>75</v>
      </c>
      <c r="B365" s="233">
        <f t="shared" si="222"/>
        <v>72</v>
      </c>
      <c r="C365" s="234">
        <f t="shared" si="223"/>
        <v>1296</v>
      </c>
      <c r="D365" s="235">
        <f t="shared" si="224"/>
        <v>100</v>
      </c>
      <c r="E365" s="228">
        <f t="shared" si="213"/>
        <v>79315.199999999997</v>
      </c>
      <c r="F365" s="229" t="s">
        <v>9</v>
      </c>
      <c r="G365" s="230">
        <v>5076</v>
      </c>
      <c r="H365" s="230"/>
      <c r="I365" s="234">
        <f>I364</f>
        <v>16.87</v>
      </c>
      <c r="J365" s="228">
        <f t="shared" si="214"/>
        <v>85632.12</v>
      </c>
      <c r="K365" s="231">
        <f t="shared" si="215"/>
        <v>164947.32</v>
      </c>
      <c r="L365" s="2"/>
      <c r="M365" s="148" t="s">
        <v>75</v>
      </c>
      <c r="N365" s="149">
        <f t="shared" si="225"/>
        <v>72</v>
      </c>
      <c r="O365" s="125">
        <f t="shared" si="226"/>
        <v>2008.8</v>
      </c>
      <c r="P365" s="106">
        <f t="shared" si="227"/>
        <v>100</v>
      </c>
      <c r="Q365" s="98">
        <f t="shared" si="216"/>
        <v>122938.56</v>
      </c>
      <c r="R365" s="145" t="s">
        <v>9</v>
      </c>
      <c r="S365" s="146">
        <v>5076</v>
      </c>
      <c r="T365" s="146"/>
      <c r="U365" s="125">
        <f>U364</f>
        <v>11.87</v>
      </c>
      <c r="V365" s="98">
        <f t="shared" si="217"/>
        <v>60252.12</v>
      </c>
      <c r="W365" s="147">
        <f t="shared" si="218"/>
        <v>183190.68</v>
      </c>
      <c r="X365" s="2"/>
      <c r="Y365" s="148" t="s">
        <v>75</v>
      </c>
      <c r="Z365" s="149">
        <f t="shared" si="228"/>
        <v>72</v>
      </c>
      <c r="AA365" s="125">
        <f t="shared" si="229"/>
        <v>2008.8</v>
      </c>
      <c r="AB365" s="106">
        <f t="shared" si="230"/>
        <v>100</v>
      </c>
      <c r="AC365" s="98">
        <f t="shared" si="219"/>
        <v>122938.56</v>
      </c>
      <c r="AD365" s="145" t="s">
        <v>9</v>
      </c>
      <c r="AE365" s="146">
        <v>5076</v>
      </c>
      <c r="AF365" s="146"/>
      <c r="AG365" s="125">
        <f>AG364</f>
        <v>11.87</v>
      </c>
      <c r="AH365" s="98">
        <f t="shared" si="220"/>
        <v>60252.12</v>
      </c>
      <c r="AI365" s="147">
        <f t="shared" si="221"/>
        <v>183190.68</v>
      </c>
    </row>
    <row r="366" spans="1:35" ht="30" customHeight="1" x14ac:dyDescent="0.15">
      <c r="A366" s="232" t="s">
        <v>76</v>
      </c>
      <c r="B366" s="233">
        <f t="shared" si="222"/>
        <v>72</v>
      </c>
      <c r="C366" s="234">
        <f t="shared" si="223"/>
        <v>1296</v>
      </c>
      <c r="D366" s="235">
        <f t="shared" si="224"/>
        <v>100</v>
      </c>
      <c r="E366" s="228">
        <f t="shared" si="213"/>
        <v>79315.199999999997</v>
      </c>
      <c r="F366" s="229" t="s">
        <v>9</v>
      </c>
      <c r="G366" s="230">
        <v>5986</v>
      </c>
      <c r="H366" s="230"/>
      <c r="I366" s="234">
        <f>I365</f>
        <v>16.87</v>
      </c>
      <c r="J366" s="228">
        <f t="shared" si="214"/>
        <v>100983.82</v>
      </c>
      <c r="K366" s="231">
        <f t="shared" si="215"/>
        <v>180299.02</v>
      </c>
      <c r="L366" s="2"/>
      <c r="M366" s="148" t="s">
        <v>76</v>
      </c>
      <c r="N366" s="149">
        <f t="shared" si="225"/>
        <v>72</v>
      </c>
      <c r="O366" s="125">
        <f t="shared" si="226"/>
        <v>2008.8</v>
      </c>
      <c r="P366" s="106">
        <f t="shared" si="227"/>
        <v>100</v>
      </c>
      <c r="Q366" s="98">
        <f t="shared" si="216"/>
        <v>122938.56</v>
      </c>
      <c r="R366" s="145" t="s">
        <v>9</v>
      </c>
      <c r="S366" s="146">
        <v>5986</v>
      </c>
      <c r="T366" s="146"/>
      <c r="U366" s="125">
        <f>U365</f>
        <v>11.87</v>
      </c>
      <c r="V366" s="98">
        <f t="shared" si="217"/>
        <v>71053.820000000007</v>
      </c>
      <c r="W366" s="147">
        <f t="shared" si="218"/>
        <v>193992.38</v>
      </c>
      <c r="X366" s="2"/>
      <c r="Y366" s="148" t="s">
        <v>76</v>
      </c>
      <c r="Z366" s="149">
        <f t="shared" si="228"/>
        <v>72</v>
      </c>
      <c r="AA366" s="125">
        <f t="shared" si="229"/>
        <v>2008.8</v>
      </c>
      <c r="AB366" s="106">
        <f t="shared" si="230"/>
        <v>100</v>
      </c>
      <c r="AC366" s="98">
        <f t="shared" si="219"/>
        <v>122938.56</v>
      </c>
      <c r="AD366" s="145" t="s">
        <v>9</v>
      </c>
      <c r="AE366" s="146">
        <v>5986</v>
      </c>
      <c r="AF366" s="146"/>
      <c r="AG366" s="125">
        <f>AG365</f>
        <v>11.87</v>
      </c>
      <c r="AH366" s="98">
        <f t="shared" si="220"/>
        <v>71053.820000000007</v>
      </c>
      <c r="AI366" s="147">
        <f t="shared" si="221"/>
        <v>193992.38</v>
      </c>
    </row>
    <row r="367" spans="1:35" ht="30" customHeight="1" x14ac:dyDescent="0.15">
      <c r="A367" s="232" t="s">
        <v>77</v>
      </c>
      <c r="B367" s="233">
        <f t="shared" si="222"/>
        <v>72</v>
      </c>
      <c r="C367" s="234">
        <f t="shared" si="223"/>
        <v>1296</v>
      </c>
      <c r="D367" s="235">
        <f t="shared" si="224"/>
        <v>100</v>
      </c>
      <c r="E367" s="228">
        <f t="shared" si="213"/>
        <v>79315.199999999997</v>
      </c>
      <c r="F367" s="229" t="s">
        <v>71</v>
      </c>
      <c r="G367" s="230">
        <v>6895</v>
      </c>
      <c r="H367" s="230"/>
      <c r="I367" s="226">
        <v>18.29</v>
      </c>
      <c r="J367" s="228">
        <f t="shared" si="214"/>
        <v>126109.55</v>
      </c>
      <c r="K367" s="231">
        <f t="shared" si="215"/>
        <v>205424.75</v>
      </c>
      <c r="L367" s="2"/>
      <c r="M367" s="148" t="s">
        <v>77</v>
      </c>
      <c r="N367" s="149">
        <f t="shared" si="225"/>
        <v>72</v>
      </c>
      <c r="O367" s="125">
        <f t="shared" si="226"/>
        <v>2008.8</v>
      </c>
      <c r="P367" s="106">
        <f t="shared" si="227"/>
        <v>100</v>
      </c>
      <c r="Q367" s="98">
        <f t="shared" si="216"/>
        <v>122938.56</v>
      </c>
      <c r="R367" s="145" t="s">
        <v>71</v>
      </c>
      <c r="S367" s="146">
        <v>6895</v>
      </c>
      <c r="T367" s="146"/>
      <c r="U367" s="124">
        <v>12.78</v>
      </c>
      <c r="V367" s="98">
        <f t="shared" si="217"/>
        <v>88118.1</v>
      </c>
      <c r="W367" s="147">
        <f t="shared" si="218"/>
        <v>211056.66</v>
      </c>
      <c r="X367" s="2"/>
      <c r="Y367" s="148" t="s">
        <v>77</v>
      </c>
      <c r="Z367" s="149">
        <f t="shared" si="228"/>
        <v>72</v>
      </c>
      <c r="AA367" s="125">
        <f t="shared" si="229"/>
        <v>2008.8</v>
      </c>
      <c r="AB367" s="106">
        <f t="shared" si="230"/>
        <v>100</v>
      </c>
      <c r="AC367" s="98">
        <f t="shared" si="219"/>
        <v>122938.56</v>
      </c>
      <c r="AD367" s="145" t="s">
        <v>71</v>
      </c>
      <c r="AE367" s="146">
        <v>6895</v>
      </c>
      <c r="AF367" s="146"/>
      <c r="AG367" s="124">
        <v>12.78</v>
      </c>
      <c r="AH367" s="98">
        <f t="shared" si="220"/>
        <v>88118.1</v>
      </c>
      <c r="AI367" s="147">
        <f t="shared" si="221"/>
        <v>211056.66</v>
      </c>
    </row>
    <row r="368" spans="1:35" ht="30" customHeight="1" x14ac:dyDescent="0.15">
      <c r="A368" s="232" t="s">
        <v>78</v>
      </c>
      <c r="B368" s="233">
        <f t="shared" si="222"/>
        <v>72</v>
      </c>
      <c r="C368" s="234">
        <f t="shared" si="223"/>
        <v>1296</v>
      </c>
      <c r="D368" s="235">
        <f t="shared" si="224"/>
        <v>100</v>
      </c>
      <c r="E368" s="228">
        <f t="shared" si="213"/>
        <v>79315.199999999997</v>
      </c>
      <c r="F368" s="229" t="s">
        <v>71</v>
      </c>
      <c r="G368" s="230">
        <v>5817</v>
      </c>
      <c r="H368" s="230"/>
      <c r="I368" s="234">
        <f>I367</f>
        <v>18.29</v>
      </c>
      <c r="J368" s="228">
        <f t="shared" si="214"/>
        <v>106392.93</v>
      </c>
      <c r="K368" s="231">
        <f t="shared" si="215"/>
        <v>185708.13</v>
      </c>
      <c r="L368" s="2"/>
      <c r="M368" s="148" t="s">
        <v>78</v>
      </c>
      <c r="N368" s="149">
        <f t="shared" si="225"/>
        <v>72</v>
      </c>
      <c r="O368" s="125">
        <f t="shared" si="226"/>
        <v>2008.8</v>
      </c>
      <c r="P368" s="106">
        <f t="shared" si="227"/>
        <v>100</v>
      </c>
      <c r="Q368" s="98">
        <f t="shared" si="216"/>
        <v>122938.56</v>
      </c>
      <c r="R368" s="145" t="s">
        <v>71</v>
      </c>
      <c r="S368" s="146">
        <v>5817</v>
      </c>
      <c r="T368" s="146"/>
      <c r="U368" s="125">
        <f>U367</f>
        <v>12.78</v>
      </c>
      <c r="V368" s="98">
        <f t="shared" si="217"/>
        <v>74341.259999999995</v>
      </c>
      <c r="W368" s="147">
        <f t="shared" si="218"/>
        <v>197279.82</v>
      </c>
      <c r="X368" s="2"/>
      <c r="Y368" s="148" t="s">
        <v>78</v>
      </c>
      <c r="Z368" s="149">
        <f t="shared" si="228"/>
        <v>72</v>
      </c>
      <c r="AA368" s="125">
        <f t="shared" si="229"/>
        <v>2008.8</v>
      </c>
      <c r="AB368" s="106">
        <f t="shared" si="230"/>
        <v>100</v>
      </c>
      <c r="AC368" s="98">
        <f t="shared" si="219"/>
        <v>122938.56</v>
      </c>
      <c r="AD368" s="145" t="s">
        <v>71</v>
      </c>
      <c r="AE368" s="146">
        <v>5817</v>
      </c>
      <c r="AF368" s="146"/>
      <c r="AG368" s="125">
        <f>AG367</f>
        <v>12.78</v>
      </c>
      <c r="AH368" s="98">
        <f t="shared" si="220"/>
        <v>74341.259999999995</v>
      </c>
      <c r="AI368" s="147">
        <f t="shared" si="221"/>
        <v>197279.82</v>
      </c>
    </row>
    <row r="369" spans="1:35" ht="30" customHeight="1" x14ac:dyDescent="0.15">
      <c r="A369" s="232" t="s">
        <v>79</v>
      </c>
      <c r="B369" s="233">
        <f t="shared" si="222"/>
        <v>72</v>
      </c>
      <c r="C369" s="234">
        <f t="shared" si="223"/>
        <v>1296</v>
      </c>
      <c r="D369" s="235">
        <f t="shared" si="224"/>
        <v>100</v>
      </c>
      <c r="E369" s="228">
        <f t="shared" si="213"/>
        <v>79315.199999999997</v>
      </c>
      <c r="F369" s="229" t="s">
        <v>71</v>
      </c>
      <c r="G369" s="230">
        <f>5554+1389</f>
        <v>6943</v>
      </c>
      <c r="H369" s="230"/>
      <c r="I369" s="234">
        <f>I368</f>
        <v>18.29</v>
      </c>
      <c r="J369" s="228">
        <f t="shared" si="214"/>
        <v>126987.47</v>
      </c>
      <c r="K369" s="231">
        <f t="shared" si="215"/>
        <v>206302.67</v>
      </c>
      <c r="L369" s="2"/>
      <c r="M369" s="148" t="s">
        <v>79</v>
      </c>
      <c r="N369" s="149">
        <f t="shared" si="225"/>
        <v>72</v>
      </c>
      <c r="O369" s="125">
        <f t="shared" si="226"/>
        <v>2008.8</v>
      </c>
      <c r="P369" s="106">
        <f t="shared" si="227"/>
        <v>100</v>
      </c>
      <c r="Q369" s="98">
        <f t="shared" si="216"/>
        <v>122938.56</v>
      </c>
      <c r="R369" s="145" t="s">
        <v>71</v>
      </c>
      <c r="S369" s="146">
        <f>5554+1389</f>
        <v>6943</v>
      </c>
      <c r="T369" s="146"/>
      <c r="U369" s="125">
        <f>U368</f>
        <v>12.78</v>
      </c>
      <c r="V369" s="98">
        <f t="shared" si="217"/>
        <v>88731.54</v>
      </c>
      <c r="W369" s="147">
        <f t="shared" si="218"/>
        <v>211670.1</v>
      </c>
      <c r="X369" s="2"/>
      <c r="Y369" s="148" t="s">
        <v>79</v>
      </c>
      <c r="Z369" s="149">
        <f t="shared" si="228"/>
        <v>72</v>
      </c>
      <c r="AA369" s="125">
        <f t="shared" si="229"/>
        <v>2008.8</v>
      </c>
      <c r="AB369" s="106">
        <f t="shared" si="230"/>
        <v>100</v>
      </c>
      <c r="AC369" s="98">
        <f t="shared" si="219"/>
        <v>122938.56</v>
      </c>
      <c r="AD369" s="145" t="s">
        <v>71</v>
      </c>
      <c r="AE369" s="146">
        <f>5554+1389</f>
        <v>6943</v>
      </c>
      <c r="AF369" s="146"/>
      <c r="AG369" s="125">
        <f>AG368</f>
        <v>12.78</v>
      </c>
      <c r="AH369" s="98">
        <f t="shared" si="220"/>
        <v>88731.54</v>
      </c>
      <c r="AI369" s="147">
        <f t="shared" si="221"/>
        <v>211670.1</v>
      </c>
    </row>
    <row r="370" spans="1:35" ht="30" customHeight="1" x14ac:dyDescent="0.15">
      <c r="A370" s="232" t="s">
        <v>80</v>
      </c>
      <c r="B370" s="233">
        <f t="shared" si="222"/>
        <v>72</v>
      </c>
      <c r="C370" s="234">
        <f t="shared" si="223"/>
        <v>1296</v>
      </c>
      <c r="D370" s="235">
        <f t="shared" si="224"/>
        <v>100</v>
      </c>
      <c r="E370" s="228">
        <f t="shared" si="213"/>
        <v>79315.199999999997</v>
      </c>
      <c r="F370" s="229" t="s">
        <v>9</v>
      </c>
      <c r="G370" s="230">
        <v>5758</v>
      </c>
      <c r="H370" s="230"/>
      <c r="I370" s="234">
        <f>I361</f>
        <v>16.87</v>
      </c>
      <c r="J370" s="228">
        <f t="shared" si="214"/>
        <v>97137.46</v>
      </c>
      <c r="K370" s="231">
        <f t="shared" si="215"/>
        <v>176452.66</v>
      </c>
      <c r="L370" s="2"/>
      <c r="M370" s="148" t="s">
        <v>80</v>
      </c>
      <c r="N370" s="149">
        <f t="shared" si="225"/>
        <v>72</v>
      </c>
      <c r="O370" s="125">
        <f t="shared" si="226"/>
        <v>2008.8</v>
      </c>
      <c r="P370" s="106">
        <f t="shared" si="227"/>
        <v>100</v>
      </c>
      <c r="Q370" s="98">
        <f t="shared" si="216"/>
        <v>122938.56</v>
      </c>
      <c r="R370" s="145" t="s">
        <v>9</v>
      </c>
      <c r="S370" s="146">
        <v>5758</v>
      </c>
      <c r="T370" s="146"/>
      <c r="U370" s="125">
        <f>U361</f>
        <v>11.87</v>
      </c>
      <c r="V370" s="98">
        <f t="shared" si="217"/>
        <v>68347.460000000006</v>
      </c>
      <c r="W370" s="147">
        <f t="shared" si="218"/>
        <v>191286.02</v>
      </c>
      <c r="X370" s="2"/>
      <c r="Y370" s="148" t="s">
        <v>80</v>
      </c>
      <c r="Z370" s="149">
        <f t="shared" si="228"/>
        <v>72</v>
      </c>
      <c r="AA370" s="125">
        <f t="shared" si="229"/>
        <v>2008.8</v>
      </c>
      <c r="AB370" s="106">
        <f t="shared" si="230"/>
        <v>100</v>
      </c>
      <c r="AC370" s="98">
        <f t="shared" si="219"/>
        <v>122938.56</v>
      </c>
      <c r="AD370" s="145" t="s">
        <v>9</v>
      </c>
      <c r="AE370" s="146">
        <v>5758</v>
      </c>
      <c r="AF370" s="146"/>
      <c r="AG370" s="125">
        <f>AG361</f>
        <v>11.87</v>
      </c>
      <c r="AH370" s="98">
        <f t="shared" si="220"/>
        <v>68347.460000000006</v>
      </c>
      <c r="AI370" s="147">
        <f t="shared" si="221"/>
        <v>191286.02</v>
      </c>
    </row>
    <row r="371" spans="1:35" ht="30" customHeight="1" x14ac:dyDescent="0.15">
      <c r="A371" s="232" t="s">
        <v>81</v>
      </c>
      <c r="B371" s="233">
        <f t="shared" si="222"/>
        <v>72</v>
      </c>
      <c r="C371" s="234">
        <f t="shared" si="223"/>
        <v>1296</v>
      </c>
      <c r="D371" s="235">
        <f t="shared" si="224"/>
        <v>100</v>
      </c>
      <c r="E371" s="228">
        <f t="shared" si="213"/>
        <v>79315.199999999997</v>
      </c>
      <c r="F371" s="229" t="s">
        <v>9</v>
      </c>
      <c r="G371" s="230">
        <v>6182</v>
      </c>
      <c r="H371" s="230"/>
      <c r="I371" s="236">
        <f>I370</f>
        <v>16.87</v>
      </c>
      <c r="J371" s="228">
        <f t="shared" si="214"/>
        <v>104290.34</v>
      </c>
      <c r="K371" s="231">
        <f t="shared" si="215"/>
        <v>183605.54</v>
      </c>
      <c r="L371" s="2"/>
      <c r="M371" s="148" t="s">
        <v>81</v>
      </c>
      <c r="N371" s="149">
        <f t="shared" si="225"/>
        <v>72</v>
      </c>
      <c r="O371" s="125">
        <f t="shared" si="226"/>
        <v>2008.8</v>
      </c>
      <c r="P371" s="106">
        <f t="shared" si="227"/>
        <v>100</v>
      </c>
      <c r="Q371" s="98">
        <f t="shared" si="216"/>
        <v>122938.56</v>
      </c>
      <c r="R371" s="145" t="s">
        <v>9</v>
      </c>
      <c r="S371" s="146">
        <v>6182</v>
      </c>
      <c r="T371" s="146"/>
      <c r="U371" s="127">
        <f>U370</f>
        <v>11.87</v>
      </c>
      <c r="V371" s="98">
        <f t="shared" si="217"/>
        <v>73380.34</v>
      </c>
      <c r="W371" s="147">
        <f t="shared" si="218"/>
        <v>196318.9</v>
      </c>
      <c r="X371" s="2"/>
      <c r="Y371" s="148" t="s">
        <v>81</v>
      </c>
      <c r="Z371" s="149">
        <f t="shared" si="228"/>
        <v>72</v>
      </c>
      <c r="AA371" s="125">
        <f t="shared" si="229"/>
        <v>2008.8</v>
      </c>
      <c r="AB371" s="106">
        <f t="shared" si="230"/>
        <v>100</v>
      </c>
      <c r="AC371" s="98">
        <f t="shared" si="219"/>
        <v>122938.56</v>
      </c>
      <c r="AD371" s="145" t="s">
        <v>9</v>
      </c>
      <c r="AE371" s="146">
        <v>6182</v>
      </c>
      <c r="AF371" s="146"/>
      <c r="AG371" s="127">
        <f>AG370</f>
        <v>11.87</v>
      </c>
      <c r="AH371" s="98">
        <f t="shared" si="220"/>
        <v>73380.34</v>
      </c>
      <c r="AI371" s="147">
        <f t="shared" si="221"/>
        <v>196318.9</v>
      </c>
    </row>
    <row r="372" spans="1:35" ht="30" customHeight="1" thickBot="1" x14ac:dyDescent="0.2">
      <c r="A372" s="237" t="s">
        <v>82</v>
      </c>
      <c r="B372" s="238">
        <f t="shared" si="222"/>
        <v>72</v>
      </c>
      <c r="C372" s="239">
        <f t="shared" si="223"/>
        <v>1296</v>
      </c>
      <c r="D372" s="238">
        <f t="shared" si="224"/>
        <v>100</v>
      </c>
      <c r="E372" s="240">
        <f t="shared" si="213"/>
        <v>79315.199999999997</v>
      </c>
      <c r="F372" s="241" t="s">
        <v>9</v>
      </c>
      <c r="G372" s="242">
        <v>6041</v>
      </c>
      <c r="H372" s="242"/>
      <c r="I372" s="239">
        <f>I371</f>
        <v>16.87</v>
      </c>
      <c r="J372" s="240">
        <f t="shared" si="214"/>
        <v>101911.67</v>
      </c>
      <c r="K372" s="243">
        <f t="shared" si="215"/>
        <v>181226.87</v>
      </c>
      <c r="L372" s="2"/>
      <c r="M372" s="150" t="s">
        <v>82</v>
      </c>
      <c r="N372" s="151">
        <f t="shared" si="225"/>
        <v>72</v>
      </c>
      <c r="O372" s="126">
        <f t="shared" si="226"/>
        <v>2008.8</v>
      </c>
      <c r="P372" s="152">
        <f t="shared" si="227"/>
        <v>100</v>
      </c>
      <c r="Q372" s="99">
        <f t="shared" si="216"/>
        <v>122938.56</v>
      </c>
      <c r="R372" s="153" t="s">
        <v>9</v>
      </c>
      <c r="S372" s="154">
        <v>6041</v>
      </c>
      <c r="T372" s="154"/>
      <c r="U372" s="126">
        <f>U371</f>
        <v>11.87</v>
      </c>
      <c r="V372" s="99">
        <f t="shared" si="217"/>
        <v>71706.67</v>
      </c>
      <c r="W372" s="155">
        <f t="shared" si="218"/>
        <v>194645.23</v>
      </c>
      <c r="X372" s="2"/>
      <c r="Y372" s="150" t="s">
        <v>82</v>
      </c>
      <c r="Z372" s="151">
        <f t="shared" si="228"/>
        <v>72</v>
      </c>
      <c r="AA372" s="126">
        <f t="shared" si="229"/>
        <v>2008.8</v>
      </c>
      <c r="AB372" s="152">
        <f t="shared" si="230"/>
        <v>100</v>
      </c>
      <c r="AC372" s="99">
        <f t="shared" si="219"/>
        <v>122938.56</v>
      </c>
      <c r="AD372" s="153" t="s">
        <v>9</v>
      </c>
      <c r="AE372" s="154">
        <v>6041</v>
      </c>
      <c r="AF372" s="154"/>
      <c r="AG372" s="126">
        <f>AG371</f>
        <v>11.87</v>
      </c>
      <c r="AH372" s="99">
        <f t="shared" si="220"/>
        <v>71706.67</v>
      </c>
      <c r="AI372" s="155">
        <f t="shared" si="221"/>
        <v>194645.23</v>
      </c>
    </row>
    <row r="373" spans="1:35" ht="30" customHeight="1" thickBot="1" x14ac:dyDescent="0.2">
      <c r="A373" s="251" t="s">
        <v>41</v>
      </c>
      <c r="B373" s="245"/>
      <c r="C373" s="245"/>
      <c r="D373" s="245"/>
      <c r="E373" s="246">
        <f>SUM(E361:E372)</f>
        <v>951782.39999999979</v>
      </c>
      <c r="F373" s="247"/>
      <c r="G373" s="248">
        <f>SUM(G361:G372)</f>
        <v>76612</v>
      </c>
      <c r="H373" s="248"/>
      <c r="I373" s="245"/>
      <c r="J373" s="246">
        <f>SUM(J361:J372)</f>
        <v>1320354.54</v>
      </c>
      <c r="K373" s="249">
        <f>SUM(K361:K372)</f>
        <v>2272136.94</v>
      </c>
      <c r="L373" s="89" t="s">
        <v>113</v>
      </c>
      <c r="M373" s="164" t="s">
        <v>41</v>
      </c>
      <c r="N373" s="157"/>
      <c r="O373" s="157"/>
      <c r="P373" s="157"/>
      <c r="Q373" s="158">
        <f>SUM(Q361:Q372)</f>
        <v>1475262.7200000004</v>
      </c>
      <c r="R373" s="159"/>
      <c r="S373" s="160">
        <f>SUM(S361:S372)</f>
        <v>76612</v>
      </c>
      <c r="T373" s="160"/>
      <c r="U373" s="157"/>
      <c r="V373" s="158">
        <f>SUM(V361:V372)</f>
        <v>927270.49</v>
      </c>
      <c r="W373" s="161">
        <f>SUM(W361:W372)</f>
        <v>2402533.21</v>
      </c>
      <c r="X373" s="89" t="s">
        <v>113</v>
      </c>
      <c r="Y373" s="164" t="s">
        <v>41</v>
      </c>
      <c r="Z373" s="157"/>
      <c r="AA373" s="157"/>
      <c r="AB373" s="157"/>
      <c r="AC373" s="158">
        <f>SUM(AC361:AC372)</f>
        <v>1475262.7200000004</v>
      </c>
      <c r="AD373" s="159"/>
      <c r="AE373" s="160">
        <f>SUM(AE361:AE372)</f>
        <v>76612</v>
      </c>
      <c r="AF373" s="160"/>
      <c r="AG373" s="157"/>
      <c r="AH373" s="158">
        <f>SUM(AH361:AH372)</f>
        <v>927270.49</v>
      </c>
      <c r="AI373" s="161">
        <f>SUM(AI361:AI372)</f>
        <v>2402533.21</v>
      </c>
    </row>
    <row r="374" spans="1:35" ht="15" customHeight="1" x14ac:dyDescent="0.15">
      <c r="A374" s="214"/>
      <c r="B374" s="250"/>
      <c r="C374" s="250"/>
      <c r="D374" s="250"/>
      <c r="E374" s="250"/>
      <c r="F374" s="250"/>
      <c r="G374" s="250"/>
      <c r="H374" s="250"/>
      <c r="I374" s="250"/>
      <c r="J374" s="250"/>
      <c r="K374" s="250"/>
      <c r="L374" s="89"/>
      <c r="N374" s="162"/>
      <c r="O374" s="162"/>
      <c r="P374" s="162"/>
      <c r="Q374" s="162"/>
      <c r="R374" s="162"/>
      <c r="S374" s="162"/>
      <c r="T374" s="162"/>
      <c r="U374" s="162"/>
      <c r="V374" s="162"/>
      <c r="W374" s="162"/>
      <c r="X374" s="89"/>
      <c r="Z374" s="162"/>
      <c r="AA374" s="162"/>
      <c r="AB374" s="162"/>
      <c r="AC374" s="162"/>
      <c r="AD374" s="162"/>
      <c r="AE374" s="162"/>
      <c r="AF374" s="162"/>
      <c r="AG374" s="162"/>
      <c r="AH374" s="162"/>
      <c r="AI374" s="162"/>
    </row>
    <row r="375" spans="1:35" x14ac:dyDescent="0.15">
      <c r="A375" s="5" t="s">
        <v>153</v>
      </c>
      <c r="B375" s="31">
        <f>B350+1</f>
        <v>14</v>
      </c>
      <c r="K375" s="551" t="str">
        <f>IF(K398-W398&lt;=0,"現状のまま","メニュー変更")</f>
        <v>メニュー変更</v>
      </c>
      <c r="L375" s="2"/>
      <c r="M375" s="255" t="s">
        <v>153</v>
      </c>
      <c r="N375" s="256">
        <f>N350+1</f>
        <v>14</v>
      </c>
      <c r="O375" s="257"/>
      <c r="P375" s="257"/>
      <c r="Q375" s="257"/>
      <c r="R375" s="257"/>
      <c r="S375" s="257"/>
      <c r="T375" s="257"/>
      <c r="U375" s="257"/>
      <c r="V375" s="257"/>
      <c r="W375" s="257"/>
      <c r="X375" s="2"/>
      <c r="Y375" s="47" t="s">
        <v>153</v>
      </c>
      <c r="Z375" s="62" t="e">
        <f>Z350+1</f>
        <v>#REF!</v>
      </c>
    </row>
    <row r="376" spans="1:35" x14ac:dyDescent="0.15">
      <c r="K376" s="551"/>
      <c r="L376" s="2"/>
      <c r="M376" s="258"/>
      <c r="N376" s="257"/>
      <c r="O376" s="257"/>
      <c r="P376" s="257"/>
      <c r="Q376" s="257"/>
      <c r="R376" s="257"/>
      <c r="S376" s="257"/>
      <c r="T376" s="257"/>
      <c r="U376" s="257"/>
      <c r="V376" s="257"/>
      <c r="W376" s="257"/>
      <c r="X376" s="2"/>
    </row>
    <row r="377" spans="1:35" x14ac:dyDescent="0.15">
      <c r="K377" s="551"/>
      <c r="L377" s="2"/>
      <c r="M377" s="258"/>
      <c r="N377" s="257"/>
      <c r="O377" s="257"/>
      <c r="P377" s="257"/>
      <c r="Q377" s="257"/>
      <c r="R377" s="257"/>
      <c r="S377" s="257"/>
      <c r="T377" s="257"/>
      <c r="U377" s="257"/>
      <c r="V377" s="257"/>
      <c r="W377" s="257"/>
      <c r="X377" s="2"/>
    </row>
    <row r="378" spans="1:35" ht="17.25" x14ac:dyDescent="0.15">
      <c r="A378" s="552" t="str">
        <f>$A$5</f>
        <v>平成29年度小郡市役所庁舎外25施設電力需給</v>
      </c>
      <c r="B378" s="552"/>
      <c r="C378" s="552"/>
      <c r="D378" s="552"/>
      <c r="E378" s="552"/>
      <c r="F378" s="552"/>
      <c r="G378" s="552"/>
      <c r="H378" s="552"/>
      <c r="I378" s="552"/>
      <c r="J378" s="552"/>
      <c r="K378" s="552"/>
      <c r="L378" s="2"/>
      <c r="M378" s="721" t="str">
        <f>$A$5</f>
        <v>平成29年度小郡市役所庁舎外25施設電力需給</v>
      </c>
      <c r="N378" s="721"/>
      <c r="O378" s="721"/>
      <c r="P378" s="721"/>
      <c r="Q378" s="721"/>
      <c r="R378" s="721"/>
      <c r="S378" s="721"/>
      <c r="T378" s="721"/>
      <c r="U378" s="721"/>
      <c r="V378" s="721"/>
      <c r="W378" s="721"/>
      <c r="X378" s="2"/>
      <c r="Y378" s="553" t="str">
        <f>$A$5</f>
        <v>平成29年度小郡市役所庁舎外25施設電力需給</v>
      </c>
      <c r="Z378" s="553"/>
      <c r="AA378" s="553"/>
      <c r="AB378" s="553"/>
      <c r="AC378" s="553"/>
      <c r="AD378" s="553"/>
      <c r="AE378" s="553"/>
      <c r="AF378" s="553"/>
      <c r="AG378" s="553"/>
      <c r="AH378" s="553"/>
      <c r="AI378" s="553"/>
    </row>
    <row r="379" spans="1:35" x14ac:dyDescent="0.15">
      <c r="A379" s="554" t="str">
        <f>$A$6</f>
        <v>（平成３０年１月～平成３０年１２月期間中の予定金額）</v>
      </c>
      <c r="B379" s="554"/>
      <c r="C379" s="554"/>
      <c r="D379" s="554"/>
      <c r="E379" s="554"/>
      <c r="F379" s="554"/>
      <c r="G379" s="554"/>
      <c r="H379" s="554"/>
      <c r="I379" s="554"/>
      <c r="J379" s="554"/>
      <c r="K379" s="554"/>
      <c r="L379" s="2"/>
      <c r="M379" s="722" t="str">
        <f>$A$6</f>
        <v>（平成３０年１月～平成３０年１２月期間中の予定金額）</v>
      </c>
      <c r="N379" s="722"/>
      <c r="O379" s="722"/>
      <c r="P379" s="722"/>
      <c r="Q379" s="722"/>
      <c r="R379" s="722"/>
      <c r="S379" s="722"/>
      <c r="T379" s="722"/>
      <c r="U379" s="722"/>
      <c r="V379" s="722"/>
      <c r="W379" s="722"/>
      <c r="X379" s="2"/>
      <c r="Y379" s="555" t="str">
        <f>$A$6</f>
        <v>（平成３０年１月～平成３０年１２月期間中の予定金額）</v>
      </c>
      <c r="Z379" s="555"/>
      <c r="AA379" s="555"/>
      <c r="AB379" s="555"/>
      <c r="AC379" s="555"/>
      <c r="AD379" s="555"/>
      <c r="AE379" s="555"/>
      <c r="AF379" s="555"/>
      <c r="AG379" s="555"/>
      <c r="AH379" s="555"/>
      <c r="AI379" s="555"/>
    </row>
    <row r="380" spans="1:35" ht="14.25" thickBot="1" x14ac:dyDescent="0.2">
      <c r="A380" s="73" t="s">
        <v>138</v>
      </c>
      <c r="B380" s="73"/>
      <c r="K380" s="5" t="s">
        <v>84</v>
      </c>
      <c r="L380" s="2"/>
      <c r="M380" s="259" t="s">
        <v>138</v>
      </c>
      <c r="N380" s="259"/>
      <c r="O380" s="257"/>
      <c r="P380" s="257"/>
      <c r="Q380" s="257"/>
      <c r="R380" s="257"/>
      <c r="S380" s="257"/>
      <c r="T380" s="257"/>
      <c r="U380" s="257"/>
      <c r="V380" s="257"/>
      <c r="W380" s="255" t="s">
        <v>70</v>
      </c>
      <c r="X380" s="2"/>
      <c r="Y380" s="134" t="s">
        <v>138</v>
      </c>
      <c r="Z380" s="134"/>
      <c r="AI380" s="47" t="s">
        <v>70</v>
      </c>
    </row>
    <row r="381" spans="1:35" ht="18" customHeight="1" thickBot="1" x14ac:dyDescent="0.2">
      <c r="A381" s="556" t="s">
        <v>33</v>
      </c>
      <c r="B381" s="559" t="s">
        <v>24</v>
      </c>
      <c r="C381" s="560"/>
      <c r="D381" s="560"/>
      <c r="E381" s="561"/>
      <c r="F381" s="562" t="s">
        <v>34</v>
      </c>
      <c r="G381" s="563"/>
      <c r="H381" s="563"/>
      <c r="I381" s="563"/>
      <c r="J381" s="564"/>
      <c r="K381" s="565" t="s">
        <v>35</v>
      </c>
      <c r="L381" s="2"/>
      <c r="M381" s="723" t="s">
        <v>33</v>
      </c>
      <c r="N381" s="726" t="s">
        <v>24</v>
      </c>
      <c r="O381" s="727"/>
      <c r="P381" s="727"/>
      <c r="Q381" s="728"/>
      <c r="R381" s="729" t="s">
        <v>34</v>
      </c>
      <c r="S381" s="730"/>
      <c r="T381" s="730"/>
      <c r="U381" s="730"/>
      <c r="V381" s="731"/>
      <c r="W381" s="732" t="s">
        <v>35</v>
      </c>
      <c r="X381" s="2"/>
      <c r="Y381" s="567" t="s">
        <v>33</v>
      </c>
      <c r="Z381" s="570" t="s">
        <v>24</v>
      </c>
      <c r="AA381" s="571"/>
      <c r="AB381" s="571"/>
      <c r="AC381" s="572"/>
      <c r="AD381" s="573" t="s">
        <v>34</v>
      </c>
      <c r="AE381" s="574"/>
      <c r="AF381" s="574"/>
      <c r="AG381" s="574"/>
      <c r="AH381" s="575"/>
      <c r="AI381" s="544" t="s">
        <v>35</v>
      </c>
    </row>
    <row r="382" spans="1:35" ht="13.5" customHeight="1" x14ac:dyDescent="0.15">
      <c r="A382" s="557"/>
      <c r="B382" s="576" t="s">
        <v>28</v>
      </c>
      <c r="C382" s="565" t="s">
        <v>29</v>
      </c>
      <c r="D382" s="576" t="s">
        <v>25</v>
      </c>
      <c r="E382" s="577" t="s">
        <v>31</v>
      </c>
      <c r="F382" s="578" t="s">
        <v>36</v>
      </c>
      <c r="G382" s="579"/>
      <c r="H382" s="119"/>
      <c r="I382" s="565" t="s">
        <v>37</v>
      </c>
      <c r="J382" s="576" t="s">
        <v>38</v>
      </c>
      <c r="K382" s="566"/>
      <c r="L382" s="2"/>
      <c r="M382" s="724"/>
      <c r="N382" s="718" t="s">
        <v>28</v>
      </c>
      <c r="O382" s="732" t="s">
        <v>29</v>
      </c>
      <c r="P382" s="718" t="s">
        <v>25</v>
      </c>
      <c r="Q382" s="738" t="s">
        <v>31</v>
      </c>
      <c r="R382" s="734" t="s">
        <v>36</v>
      </c>
      <c r="S382" s="735"/>
      <c r="T382" s="260"/>
      <c r="U382" s="732" t="s">
        <v>37</v>
      </c>
      <c r="V382" s="718" t="s">
        <v>38</v>
      </c>
      <c r="W382" s="733"/>
      <c r="X382" s="2"/>
      <c r="Y382" s="568"/>
      <c r="Z382" s="546" t="s">
        <v>28</v>
      </c>
      <c r="AA382" s="544" t="s">
        <v>29</v>
      </c>
      <c r="AB382" s="546" t="s">
        <v>25</v>
      </c>
      <c r="AC382" s="582" t="s">
        <v>31</v>
      </c>
      <c r="AD382" s="540" t="s">
        <v>36</v>
      </c>
      <c r="AE382" s="541"/>
      <c r="AF382" s="135"/>
      <c r="AG382" s="544" t="s">
        <v>37</v>
      </c>
      <c r="AH382" s="546" t="s">
        <v>38</v>
      </c>
      <c r="AI382" s="545"/>
    </row>
    <row r="383" spans="1:35" x14ac:dyDescent="0.15">
      <c r="A383" s="557"/>
      <c r="B383" s="576"/>
      <c r="C383" s="566"/>
      <c r="D383" s="576"/>
      <c r="E383" s="576"/>
      <c r="F383" s="580"/>
      <c r="G383" s="581"/>
      <c r="H383" s="120"/>
      <c r="I383" s="566"/>
      <c r="J383" s="576"/>
      <c r="K383" s="566"/>
      <c r="L383" s="2"/>
      <c r="M383" s="724"/>
      <c r="N383" s="718"/>
      <c r="O383" s="733"/>
      <c r="P383" s="718"/>
      <c r="Q383" s="718"/>
      <c r="R383" s="736"/>
      <c r="S383" s="737"/>
      <c r="T383" s="261"/>
      <c r="U383" s="733"/>
      <c r="V383" s="718"/>
      <c r="W383" s="733"/>
      <c r="X383" s="2"/>
      <c r="Y383" s="568"/>
      <c r="Z383" s="546"/>
      <c r="AA383" s="545"/>
      <c r="AB383" s="546"/>
      <c r="AC383" s="546"/>
      <c r="AD383" s="542"/>
      <c r="AE383" s="543"/>
      <c r="AF383" s="136"/>
      <c r="AG383" s="545"/>
      <c r="AH383" s="546"/>
      <c r="AI383" s="545"/>
    </row>
    <row r="384" spans="1:35" ht="23.25" customHeight="1" x14ac:dyDescent="0.15">
      <c r="A384" s="557"/>
      <c r="B384" s="74" t="s">
        <v>13</v>
      </c>
      <c r="C384" s="75" t="s">
        <v>30</v>
      </c>
      <c r="D384" s="74" t="s">
        <v>14</v>
      </c>
      <c r="E384" s="74" t="s">
        <v>40</v>
      </c>
      <c r="F384" s="547" t="s">
        <v>15</v>
      </c>
      <c r="G384" s="548"/>
      <c r="H384" s="121"/>
      <c r="I384" s="75" t="s">
        <v>30</v>
      </c>
      <c r="J384" s="74" t="s">
        <v>40</v>
      </c>
      <c r="K384" s="74" t="s">
        <v>40</v>
      </c>
      <c r="L384" s="2"/>
      <c r="M384" s="724"/>
      <c r="N384" s="262" t="s">
        <v>152</v>
      </c>
      <c r="O384" s="263" t="s">
        <v>30</v>
      </c>
      <c r="P384" s="262" t="s">
        <v>14</v>
      </c>
      <c r="Q384" s="262" t="s">
        <v>40</v>
      </c>
      <c r="R384" s="719" t="s">
        <v>15</v>
      </c>
      <c r="S384" s="720"/>
      <c r="T384" s="264"/>
      <c r="U384" s="263" t="s">
        <v>30</v>
      </c>
      <c r="V384" s="262" t="s">
        <v>40</v>
      </c>
      <c r="W384" s="262" t="s">
        <v>40</v>
      </c>
      <c r="X384" s="2"/>
      <c r="Y384" s="568"/>
      <c r="Z384" s="137" t="s">
        <v>152</v>
      </c>
      <c r="AA384" s="138" t="s">
        <v>30</v>
      </c>
      <c r="AB384" s="137" t="s">
        <v>14</v>
      </c>
      <c r="AC384" s="137" t="s">
        <v>40</v>
      </c>
      <c r="AD384" s="549" t="s">
        <v>15</v>
      </c>
      <c r="AE384" s="550"/>
      <c r="AF384" s="139"/>
      <c r="AG384" s="138" t="s">
        <v>30</v>
      </c>
      <c r="AH384" s="137" t="s">
        <v>40</v>
      </c>
      <c r="AI384" s="137" t="s">
        <v>40</v>
      </c>
    </row>
    <row r="385" spans="1:35" ht="15.75" customHeight="1" thickBot="1" x14ac:dyDescent="0.2">
      <c r="A385" s="558"/>
      <c r="B385" s="76" t="s">
        <v>16</v>
      </c>
      <c r="C385" s="76" t="s">
        <v>17</v>
      </c>
      <c r="D385" s="76" t="s">
        <v>18</v>
      </c>
      <c r="E385" s="76" t="s">
        <v>19</v>
      </c>
      <c r="F385" s="77"/>
      <c r="G385" s="78" t="s">
        <v>20</v>
      </c>
      <c r="H385" s="78"/>
      <c r="I385" s="76" t="s">
        <v>21</v>
      </c>
      <c r="J385" s="76" t="s">
        <v>22</v>
      </c>
      <c r="K385" s="78" t="s">
        <v>23</v>
      </c>
      <c r="L385" s="2"/>
      <c r="M385" s="725"/>
      <c r="N385" s="265" t="s">
        <v>16</v>
      </c>
      <c r="O385" s="265" t="s">
        <v>17</v>
      </c>
      <c r="P385" s="265" t="s">
        <v>18</v>
      </c>
      <c r="Q385" s="265" t="s">
        <v>19</v>
      </c>
      <c r="R385" s="266"/>
      <c r="S385" s="267" t="s">
        <v>20</v>
      </c>
      <c r="T385" s="267"/>
      <c r="U385" s="265" t="s">
        <v>21</v>
      </c>
      <c r="V385" s="265" t="s">
        <v>22</v>
      </c>
      <c r="W385" s="267" t="s">
        <v>23</v>
      </c>
      <c r="X385" s="2"/>
      <c r="Y385" s="569"/>
      <c r="Z385" s="122" t="s">
        <v>16</v>
      </c>
      <c r="AA385" s="122" t="s">
        <v>17</v>
      </c>
      <c r="AB385" s="122" t="s">
        <v>18</v>
      </c>
      <c r="AC385" s="122" t="s">
        <v>19</v>
      </c>
      <c r="AD385" s="140"/>
      <c r="AE385" s="141" t="s">
        <v>20</v>
      </c>
      <c r="AF385" s="141"/>
      <c r="AG385" s="122" t="s">
        <v>21</v>
      </c>
      <c r="AH385" s="122" t="s">
        <v>22</v>
      </c>
      <c r="AI385" s="141" t="s">
        <v>23</v>
      </c>
    </row>
    <row r="386" spans="1:35" ht="30" customHeight="1" x14ac:dyDescent="0.15">
      <c r="A386" s="107" t="s">
        <v>83</v>
      </c>
      <c r="B386" s="112">
        <v>77</v>
      </c>
      <c r="C386" s="113">
        <v>1296</v>
      </c>
      <c r="D386" s="117">
        <v>100</v>
      </c>
      <c r="E386" s="79">
        <f t="shared" ref="E386:E397" si="231">ROUNDDOWN(B386*C386*((185-D386)/100),2)</f>
        <v>84823.2</v>
      </c>
      <c r="F386" s="80" t="s">
        <v>85</v>
      </c>
      <c r="G386" s="81">
        <v>10442</v>
      </c>
      <c r="H386" s="81"/>
      <c r="I386" s="116">
        <v>16.87</v>
      </c>
      <c r="J386" s="79">
        <f t="shared" ref="J386:J397" si="232">ROUNDDOWN(G386*I386,2)</f>
        <v>176156.54</v>
      </c>
      <c r="K386" s="82">
        <f t="shared" ref="K386:K397" si="233">ROUNDDOWN(J386+E386,2)</f>
        <v>260979.74</v>
      </c>
      <c r="L386" s="2"/>
      <c r="M386" s="268" t="s">
        <v>83</v>
      </c>
      <c r="N386" s="269">
        <v>77</v>
      </c>
      <c r="O386" s="270">
        <v>2008.8</v>
      </c>
      <c r="P386" s="269">
        <v>100</v>
      </c>
      <c r="Q386" s="271">
        <f t="shared" ref="Q386:Q397" si="234">ROUNDDOWN(N386*O386*((185-P386)/100),2)</f>
        <v>131475.96</v>
      </c>
      <c r="R386" s="279" t="s">
        <v>85</v>
      </c>
      <c r="S386" s="273">
        <v>10442</v>
      </c>
      <c r="T386" s="273"/>
      <c r="U386" s="270">
        <v>11.87</v>
      </c>
      <c r="V386" s="271">
        <f t="shared" ref="V386:V397" si="235">ROUNDDOWN(S386*U386,2)</f>
        <v>123946.54</v>
      </c>
      <c r="W386" s="274">
        <f t="shared" ref="W386:W397" si="236">ROUNDDOWN(V386+Q386,2)</f>
        <v>255422.5</v>
      </c>
      <c r="X386" s="2"/>
      <c r="Y386" s="142" t="s">
        <v>83</v>
      </c>
      <c r="Z386" s="143">
        <v>77</v>
      </c>
      <c r="AA386" s="123">
        <v>2008.8</v>
      </c>
      <c r="AB386" s="163">
        <v>100</v>
      </c>
      <c r="AC386" s="98">
        <f t="shared" ref="AC386:AC397" si="237">ROUNDDOWN(Z386*AA386*((185-AB386)/100),2)</f>
        <v>131475.96</v>
      </c>
      <c r="AD386" s="145" t="s">
        <v>85</v>
      </c>
      <c r="AE386" s="146">
        <v>10442</v>
      </c>
      <c r="AF386" s="146"/>
      <c r="AG386" s="124">
        <v>11.87</v>
      </c>
      <c r="AH386" s="98">
        <f t="shared" ref="AH386:AH397" si="238">ROUNDDOWN(AE386*AG386,2)</f>
        <v>123946.54</v>
      </c>
      <c r="AI386" s="147">
        <f t="shared" ref="AI386:AI397" si="239">ROUNDDOWN(AH386+AC386,2)</f>
        <v>255422.5</v>
      </c>
    </row>
    <row r="387" spans="1:35" ht="30" customHeight="1" x14ac:dyDescent="0.15">
      <c r="A387" s="105" t="s">
        <v>72</v>
      </c>
      <c r="B387" s="108">
        <f t="shared" ref="B387:B397" si="240">B386</f>
        <v>77</v>
      </c>
      <c r="C387" s="109">
        <f t="shared" ref="C387:C397" si="241">C386</f>
        <v>1296</v>
      </c>
      <c r="D387" s="114">
        <f t="shared" ref="D387:D397" si="242">D386</f>
        <v>100</v>
      </c>
      <c r="E387" s="79">
        <f t="shared" si="231"/>
        <v>84823.2</v>
      </c>
      <c r="F387" s="80" t="s">
        <v>112</v>
      </c>
      <c r="G387" s="81">
        <v>9602</v>
      </c>
      <c r="H387" s="81"/>
      <c r="I387" s="109">
        <f>I386</f>
        <v>16.87</v>
      </c>
      <c r="J387" s="79">
        <f t="shared" si="232"/>
        <v>161985.74</v>
      </c>
      <c r="K387" s="82">
        <f t="shared" si="233"/>
        <v>246808.94</v>
      </c>
      <c r="L387" s="2"/>
      <c r="M387" s="275" t="s">
        <v>72</v>
      </c>
      <c r="N387" s="276">
        <f t="shared" ref="N387:N397" si="243">N386</f>
        <v>77</v>
      </c>
      <c r="O387" s="277">
        <f t="shared" ref="O387:O397" si="244">O386</f>
        <v>2008.8</v>
      </c>
      <c r="P387" s="278">
        <f t="shared" ref="P387:P397" si="245">P386</f>
        <v>100</v>
      </c>
      <c r="Q387" s="271">
        <f t="shared" si="234"/>
        <v>131475.96</v>
      </c>
      <c r="R387" s="279" t="s">
        <v>112</v>
      </c>
      <c r="S387" s="273">
        <v>9602</v>
      </c>
      <c r="T387" s="273"/>
      <c r="U387" s="277">
        <f>U386</f>
        <v>11.87</v>
      </c>
      <c r="V387" s="271">
        <f t="shared" si="235"/>
        <v>113975.74</v>
      </c>
      <c r="W387" s="274">
        <f t="shared" si="236"/>
        <v>245451.7</v>
      </c>
      <c r="X387" s="2"/>
      <c r="Y387" s="148" t="s">
        <v>72</v>
      </c>
      <c r="Z387" s="149">
        <f t="shared" ref="Z387:Z397" si="246">Z386</f>
        <v>77</v>
      </c>
      <c r="AA387" s="125">
        <f t="shared" ref="AA387:AA397" si="247">AA386</f>
        <v>2008.8</v>
      </c>
      <c r="AB387" s="106">
        <f t="shared" ref="AB387:AB397" si="248">AB386</f>
        <v>100</v>
      </c>
      <c r="AC387" s="98">
        <f t="shared" si="237"/>
        <v>131475.96</v>
      </c>
      <c r="AD387" s="145" t="s">
        <v>112</v>
      </c>
      <c r="AE387" s="146">
        <v>9602</v>
      </c>
      <c r="AF387" s="146"/>
      <c r="AG387" s="125">
        <f>AG386</f>
        <v>11.87</v>
      </c>
      <c r="AH387" s="98">
        <f t="shared" si="238"/>
        <v>113975.74</v>
      </c>
      <c r="AI387" s="147">
        <f t="shared" si="239"/>
        <v>245451.7</v>
      </c>
    </row>
    <row r="388" spans="1:35" ht="30" customHeight="1" x14ac:dyDescent="0.15">
      <c r="A388" s="105" t="s">
        <v>73</v>
      </c>
      <c r="B388" s="108">
        <f t="shared" si="240"/>
        <v>77</v>
      </c>
      <c r="C388" s="109">
        <f t="shared" si="241"/>
        <v>1296</v>
      </c>
      <c r="D388" s="114">
        <f t="shared" si="242"/>
        <v>100</v>
      </c>
      <c r="E388" s="79">
        <f t="shared" si="231"/>
        <v>84823.2</v>
      </c>
      <c r="F388" s="80" t="s">
        <v>9</v>
      </c>
      <c r="G388" s="81">
        <v>11954</v>
      </c>
      <c r="H388" s="81"/>
      <c r="I388" s="109">
        <f>I387</f>
        <v>16.87</v>
      </c>
      <c r="J388" s="79">
        <f t="shared" si="232"/>
        <v>201663.98</v>
      </c>
      <c r="K388" s="82">
        <f t="shared" si="233"/>
        <v>286487.18</v>
      </c>
      <c r="L388" s="2"/>
      <c r="M388" s="275" t="s">
        <v>73</v>
      </c>
      <c r="N388" s="276">
        <f t="shared" si="243"/>
        <v>77</v>
      </c>
      <c r="O388" s="277">
        <f t="shared" si="244"/>
        <v>2008.8</v>
      </c>
      <c r="P388" s="278">
        <f t="shared" si="245"/>
        <v>100</v>
      </c>
      <c r="Q388" s="271">
        <f t="shared" si="234"/>
        <v>131475.96</v>
      </c>
      <c r="R388" s="279" t="s">
        <v>9</v>
      </c>
      <c r="S388" s="273">
        <v>11954</v>
      </c>
      <c r="T388" s="273"/>
      <c r="U388" s="277">
        <f>U387</f>
        <v>11.87</v>
      </c>
      <c r="V388" s="271">
        <f t="shared" si="235"/>
        <v>141893.98000000001</v>
      </c>
      <c r="W388" s="274">
        <f t="shared" si="236"/>
        <v>273369.94</v>
      </c>
      <c r="X388" s="2"/>
      <c r="Y388" s="148" t="s">
        <v>73</v>
      </c>
      <c r="Z388" s="149">
        <f t="shared" si="246"/>
        <v>77</v>
      </c>
      <c r="AA388" s="125">
        <f t="shared" si="247"/>
        <v>2008.8</v>
      </c>
      <c r="AB388" s="106">
        <f t="shared" si="248"/>
        <v>100</v>
      </c>
      <c r="AC388" s="98">
        <f t="shared" si="237"/>
        <v>131475.96</v>
      </c>
      <c r="AD388" s="145" t="s">
        <v>9</v>
      </c>
      <c r="AE388" s="146">
        <v>11954</v>
      </c>
      <c r="AF388" s="146"/>
      <c r="AG388" s="125">
        <f>AG387</f>
        <v>11.87</v>
      </c>
      <c r="AH388" s="98">
        <f t="shared" si="238"/>
        <v>141893.98000000001</v>
      </c>
      <c r="AI388" s="147">
        <f t="shared" si="239"/>
        <v>273369.94</v>
      </c>
    </row>
    <row r="389" spans="1:35" ht="30" customHeight="1" x14ac:dyDescent="0.15">
      <c r="A389" s="105" t="s">
        <v>74</v>
      </c>
      <c r="B389" s="108">
        <f t="shared" si="240"/>
        <v>77</v>
      </c>
      <c r="C389" s="109">
        <f t="shared" si="241"/>
        <v>1296</v>
      </c>
      <c r="D389" s="114">
        <f t="shared" si="242"/>
        <v>100</v>
      </c>
      <c r="E389" s="79">
        <f t="shared" si="231"/>
        <v>84823.2</v>
      </c>
      <c r="F389" s="80" t="s">
        <v>9</v>
      </c>
      <c r="G389" s="81">
        <v>9878</v>
      </c>
      <c r="H389" s="81"/>
      <c r="I389" s="109">
        <f>I388</f>
        <v>16.87</v>
      </c>
      <c r="J389" s="79">
        <f t="shared" si="232"/>
        <v>166641.85999999999</v>
      </c>
      <c r="K389" s="82">
        <f t="shared" si="233"/>
        <v>251465.06</v>
      </c>
      <c r="L389" s="2"/>
      <c r="M389" s="275" t="s">
        <v>74</v>
      </c>
      <c r="N389" s="276">
        <f t="shared" si="243"/>
        <v>77</v>
      </c>
      <c r="O389" s="277">
        <f t="shared" si="244"/>
        <v>2008.8</v>
      </c>
      <c r="P389" s="278">
        <f t="shared" si="245"/>
        <v>100</v>
      </c>
      <c r="Q389" s="271">
        <f t="shared" si="234"/>
        <v>131475.96</v>
      </c>
      <c r="R389" s="279" t="s">
        <v>9</v>
      </c>
      <c r="S389" s="273">
        <v>9878</v>
      </c>
      <c r="T389" s="273"/>
      <c r="U389" s="277">
        <f>U388</f>
        <v>11.87</v>
      </c>
      <c r="V389" s="271">
        <f t="shared" si="235"/>
        <v>117251.86</v>
      </c>
      <c r="W389" s="274">
        <f t="shared" si="236"/>
        <v>248727.82</v>
      </c>
      <c r="X389" s="2"/>
      <c r="Y389" s="148" t="s">
        <v>74</v>
      </c>
      <c r="Z389" s="149">
        <f t="shared" si="246"/>
        <v>77</v>
      </c>
      <c r="AA389" s="125">
        <f t="shared" si="247"/>
        <v>2008.8</v>
      </c>
      <c r="AB389" s="106">
        <f t="shared" si="248"/>
        <v>100</v>
      </c>
      <c r="AC389" s="98">
        <f t="shared" si="237"/>
        <v>131475.96</v>
      </c>
      <c r="AD389" s="145" t="s">
        <v>9</v>
      </c>
      <c r="AE389" s="146">
        <v>9878</v>
      </c>
      <c r="AF389" s="146"/>
      <c r="AG389" s="125">
        <f>AG388</f>
        <v>11.87</v>
      </c>
      <c r="AH389" s="98">
        <f t="shared" si="238"/>
        <v>117251.86</v>
      </c>
      <c r="AI389" s="147">
        <f t="shared" si="239"/>
        <v>248727.82</v>
      </c>
    </row>
    <row r="390" spans="1:35" ht="30" customHeight="1" x14ac:dyDescent="0.15">
      <c r="A390" s="105" t="s">
        <v>75</v>
      </c>
      <c r="B390" s="108">
        <f t="shared" si="240"/>
        <v>77</v>
      </c>
      <c r="C390" s="109">
        <f t="shared" si="241"/>
        <v>1296</v>
      </c>
      <c r="D390" s="114">
        <f t="shared" si="242"/>
        <v>100</v>
      </c>
      <c r="E390" s="79">
        <f t="shared" si="231"/>
        <v>84823.2</v>
      </c>
      <c r="F390" s="80" t="s">
        <v>9</v>
      </c>
      <c r="G390" s="81">
        <v>10810</v>
      </c>
      <c r="H390" s="81"/>
      <c r="I390" s="109">
        <f>I389</f>
        <v>16.87</v>
      </c>
      <c r="J390" s="79">
        <f t="shared" si="232"/>
        <v>182364.7</v>
      </c>
      <c r="K390" s="82">
        <f t="shared" si="233"/>
        <v>267187.90000000002</v>
      </c>
      <c r="L390" s="2"/>
      <c r="M390" s="275" t="s">
        <v>75</v>
      </c>
      <c r="N390" s="276">
        <f t="shared" si="243"/>
        <v>77</v>
      </c>
      <c r="O390" s="277">
        <f t="shared" si="244"/>
        <v>2008.8</v>
      </c>
      <c r="P390" s="278">
        <f t="shared" si="245"/>
        <v>100</v>
      </c>
      <c r="Q390" s="271">
        <f t="shared" si="234"/>
        <v>131475.96</v>
      </c>
      <c r="R390" s="279" t="s">
        <v>9</v>
      </c>
      <c r="S390" s="273">
        <v>10810</v>
      </c>
      <c r="T390" s="273"/>
      <c r="U390" s="277">
        <f>U389</f>
        <v>11.87</v>
      </c>
      <c r="V390" s="271">
        <f t="shared" si="235"/>
        <v>128314.7</v>
      </c>
      <c r="W390" s="274">
        <f t="shared" si="236"/>
        <v>259790.66</v>
      </c>
      <c r="X390" s="2"/>
      <c r="Y390" s="148" t="s">
        <v>75</v>
      </c>
      <c r="Z390" s="149">
        <f t="shared" si="246"/>
        <v>77</v>
      </c>
      <c r="AA390" s="125">
        <f t="shared" si="247"/>
        <v>2008.8</v>
      </c>
      <c r="AB390" s="106">
        <f t="shared" si="248"/>
        <v>100</v>
      </c>
      <c r="AC390" s="98">
        <f t="shared" si="237"/>
        <v>131475.96</v>
      </c>
      <c r="AD390" s="145" t="s">
        <v>9</v>
      </c>
      <c r="AE390" s="146">
        <v>10810</v>
      </c>
      <c r="AF390" s="146"/>
      <c r="AG390" s="125">
        <f>AG389</f>
        <v>11.87</v>
      </c>
      <c r="AH390" s="98">
        <f t="shared" si="238"/>
        <v>128314.7</v>
      </c>
      <c r="AI390" s="147">
        <f t="shared" si="239"/>
        <v>259790.66</v>
      </c>
    </row>
    <row r="391" spans="1:35" ht="30" customHeight="1" x14ac:dyDescent="0.15">
      <c r="A391" s="105" t="s">
        <v>76</v>
      </c>
      <c r="B391" s="108">
        <f t="shared" si="240"/>
        <v>77</v>
      </c>
      <c r="C391" s="109">
        <f t="shared" si="241"/>
        <v>1296</v>
      </c>
      <c r="D391" s="114">
        <f t="shared" si="242"/>
        <v>100</v>
      </c>
      <c r="E391" s="79">
        <f t="shared" si="231"/>
        <v>84823.2</v>
      </c>
      <c r="F391" s="80" t="s">
        <v>9</v>
      </c>
      <c r="G391" s="81">
        <v>10958</v>
      </c>
      <c r="H391" s="81"/>
      <c r="I391" s="109">
        <f>I390</f>
        <v>16.87</v>
      </c>
      <c r="J391" s="79">
        <f t="shared" si="232"/>
        <v>184861.46</v>
      </c>
      <c r="K391" s="82">
        <f t="shared" si="233"/>
        <v>269684.65999999997</v>
      </c>
      <c r="L391" s="2"/>
      <c r="M391" s="275" t="s">
        <v>76</v>
      </c>
      <c r="N391" s="276">
        <f t="shared" si="243"/>
        <v>77</v>
      </c>
      <c r="O391" s="277">
        <f t="shared" si="244"/>
        <v>2008.8</v>
      </c>
      <c r="P391" s="278">
        <f t="shared" si="245"/>
        <v>100</v>
      </c>
      <c r="Q391" s="271">
        <f t="shared" si="234"/>
        <v>131475.96</v>
      </c>
      <c r="R391" s="279" t="s">
        <v>9</v>
      </c>
      <c r="S391" s="273">
        <v>10958</v>
      </c>
      <c r="T391" s="273"/>
      <c r="U391" s="277">
        <f>U390</f>
        <v>11.87</v>
      </c>
      <c r="V391" s="271">
        <f t="shared" si="235"/>
        <v>130071.46</v>
      </c>
      <c r="W391" s="274">
        <f t="shared" si="236"/>
        <v>261547.42</v>
      </c>
      <c r="X391" s="2"/>
      <c r="Y391" s="148" t="s">
        <v>76</v>
      </c>
      <c r="Z391" s="149">
        <f t="shared" si="246"/>
        <v>77</v>
      </c>
      <c r="AA391" s="125">
        <f t="shared" si="247"/>
        <v>2008.8</v>
      </c>
      <c r="AB391" s="106">
        <f t="shared" si="248"/>
        <v>100</v>
      </c>
      <c r="AC391" s="98">
        <f t="shared" si="237"/>
        <v>131475.96</v>
      </c>
      <c r="AD391" s="145" t="s">
        <v>9</v>
      </c>
      <c r="AE391" s="146">
        <v>10958</v>
      </c>
      <c r="AF391" s="146"/>
      <c r="AG391" s="125">
        <f>AG390</f>
        <v>11.87</v>
      </c>
      <c r="AH391" s="98">
        <f t="shared" si="238"/>
        <v>130071.46</v>
      </c>
      <c r="AI391" s="147">
        <f t="shared" si="239"/>
        <v>261547.42</v>
      </c>
    </row>
    <row r="392" spans="1:35" ht="30" customHeight="1" x14ac:dyDescent="0.15">
      <c r="A392" s="105" t="s">
        <v>77</v>
      </c>
      <c r="B392" s="108">
        <f t="shared" si="240"/>
        <v>77</v>
      </c>
      <c r="C392" s="109">
        <f t="shared" si="241"/>
        <v>1296</v>
      </c>
      <c r="D392" s="114">
        <f t="shared" si="242"/>
        <v>100</v>
      </c>
      <c r="E392" s="79">
        <f t="shared" si="231"/>
        <v>84823.2</v>
      </c>
      <c r="F392" s="80" t="s">
        <v>71</v>
      </c>
      <c r="G392" s="81">
        <v>10478</v>
      </c>
      <c r="H392" s="81"/>
      <c r="I392" s="116">
        <v>18.29</v>
      </c>
      <c r="J392" s="79">
        <f t="shared" si="232"/>
        <v>191642.62</v>
      </c>
      <c r="K392" s="82">
        <f t="shared" si="233"/>
        <v>276465.82</v>
      </c>
      <c r="L392" s="2"/>
      <c r="M392" s="275" t="s">
        <v>77</v>
      </c>
      <c r="N392" s="276">
        <f t="shared" si="243"/>
        <v>77</v>
      </c>
      <c r="O392" s="277">
        <f t="shared" si="244"/>
        <v>2008.8</v>
      </c>
      <c r="P392" s="278">
        <f t="shared" si="245"/>
        <v>100</v>
      </c>
      <c r="Q392" s="271">
        <f t="shared" si="234"/>
        <v>131475.96</v>
      </c>
      <c r="R392" s="279" t="s">
        <v>71</v>
      </c>
      <c r="S392" s="273">
        <v>10478</v>
      </c>
      <c r="T392" s="273"/>
      <c r="U392" s="270">
        <v>12.78</v>
      </c>
      <c r="V392" s="271">
        <f t="shared" si="235"/>
        <v>133908.84</v>
      </c>
      <c r="W392" s="274">
        <f t="shared" si="236"/>
        <v>265384.8</v>
      </c>
      <c r="X392" s="2"/>
      <c r="Y392" s="148" t="s">
        <v>77</v>
      </c>
      <c r="Z392" s="149">
        <f t="shared" si="246"/>
        <v>77</v>
      </c>
      <c r="AA392" s="125">
        <f t="shared" si="247"/>
        <v>2008.8</v>
      </c>
      <c r="AB392" s="106">
        <f t="shared" si="248"/>
        <v>100</v>
      </c>
      <c r="AC392" s="98">
        <f t="shared" si="237"/>
        <v>131475.96</v>
      </c>
      <c r="AD392" s="145" t="s">
        <v>71</v>
      </c>
      <c r="AE392" s="146">
        <v>10478</v>
      </c>
      <c r="AF392" s="146"/>
      <c r="AG392" s="124">
        <v>12.78</v>
      </c>
      <c r="AH392" s="98">
        <f t="shared" si="238"/>
        <v>133908.84</v>
      </c>
      <c r="AI392" s="147">
        <f t="shared" si="239"/>
        <v>265384.8</v>
      </c>
    </row>
    <row r="393" spans="1:35" ht="30" customHeight="1" x14ac:dyDescent="0.15">
      <c r="A393" s="105" t="s">
        <v>78</v>
      </c>
      <c r="B393" s="108">
        <f t="shared" si="240"/>
        <v>77</v>
      </c>
      <c r="C393" s="109">
        <f t="shared" si="241"/>
        <v>1296</v>
      </c>
      <c r="D393" s="114">
        <f t="shared" si="242"/>
        <v>100</v>
      </c>
      <c r="E393" s="79">
        <f t="shared" si="231"/>
        <v>84823.2</v>
      </c>
      <c r="F393" s="80" t="s">
        <v>71</v>
      </c>
      <c r="G393" s="81">
        <v>6948</v>
      </c>
      <c r="H393" s="81"/>
      <c r="I393" s="109">
        <f>I392</f>
        <v>18.29</v>
      </c>
      <c r="J393" s="79">
        <f t="shared" si="232"/>
        <v>127078.92</v>
      </c>
      <c r="K393" s="82">
        <f t="shared" si="233"/>
        <v>211902.12</v>
      </c>
      <c r="L393" s="2"/>
      <c r="M393" s="275" t="s">
        <v>78</v>
      </c>
      <c r="N393" s="276">
        <f t="shared" si="243"/>
        <v>77</v>
      </c>
      <c r="O393" s="277">
        <f t="shared" si="244"/>
        <v>2008.8</v>
      </c>
      <c r="P393" s="278">
        <f t="shared" si="245"/>
        <v>100</v>
      </c>
      <c r="Q393" s="271">
        <f t="shared" si="234"/>
        <v>131475.96</v>
      </c>
      <c r="R393" s="279" t="s">
        <v>71</v>
      </c>
      <c r="S393" s="273">
        <v>6948</v>
      </c>
      <c r="T393" s="273"/>
      <c r="U393" s="277">
        <f>U392</f>
        <v>12.78</v>
      </c>
      <c r="V393" s="271">
        <f t="shared" si="235"/>
        <v>88795.44</v>
      </c>
      <c r="W393" s="274">
        <f t="shared" si="236"/>
        <v>220271.4</v>
      </c>
      <c r="X393" s="2"/>
      <c r="Y393" s="148" t="s">
        <v>78</v>
      </c>
      <c r="Z393" s="149">
        <f t="shared" si="246"/>
        <v>77</v>
      </c>
      <c r="AA393" s="125">
        <f t="shared" si="247"/>
        <v>2008.8</v>
      </c>
      <c r="AB393" s="106">
        <f t="shared" si="248"/>
        <v>100</v>
      </c>
      <c r="AC393" s="98">
        <f t="shared" si="237"/>
        <v>131475.96</v>
      </c>
      <c r="AD393" s="145" t="s">
        <v>71</v>
      </c>
      <c r="AE393" s="146">
        <v>6948</v>
      </c>
      <c r="AF393" s="146"/>
      <c r="AG393" s="125">
        <f>AG392</f>
        <v>12.78</v>
      </c>
      <c r="AH393" s="98">
        <f t="shared" si="238"/>
        <v>88795.44</v>
      </c>
      <c r="AI393" s="147">
        <f t="shared" si="239"/>
        <v>220271.4</v>
      </c>
    </row>
    <row r="394" spans="1:35" ht="30" customHeight="1" x14ac:dyDescent="0.15">
      <c r="A394" s="105" t="s">
        <v>79</v>
      </c>
      <c r="B394" s="108">
        <f t="shared" si="240"/>
        <v>77</v>
      </c>
      <c r="C394" s="109">
        <f t="shared" si="241"/>
        <v>1296</v>
      </c>
      <c r="D394" s="114">
        <f t="shared" si="242"/>
        <v>100</v>
      </c>
      <c r="E394" s="79">
        <f t="shared" si="231"/>
        <v>84823.2</v>
      </c>
      <c r="F394" s="80" t="s">
        <v>71</v>
      </c>
      <c r="G394" s="81">
        <f>6347+1587</f>
        <v>7934</v>
      </c>
      <c r="H394" s="81"/>
      <c r="I394" s="109">
        <f>I393</f>
        <v>18.29</v>
      </c>
      <c r="J394" s="79">
        <f t="shared" si="232"/>
        <v>145112.85999999999</v>
      </c>
      <c r="K394" s="82">
        <f t="shared" si="233"/>
        <v>229936.06</v>
      </c>
      <c r="L394" s="2"/>
      <c r="M394" s="275" t="s">
        <v>79</v>
      </c>
      <c r="N394" s="276">
        <f t="shared" si="243"/>
        <v>77</v>
      </c>
      <c r="O394" s="277">
        <f t="shared" si="244"/>
        <v>2008.8</v>
      </c>
      <c r="P394" s="278">
        <f t="shared" si="245"/>
        <v>100</v>
      </c>
      <c r="Q394" s="271">
        <f t="shared" si="234"/>
        <v>131475.96</v>
      </c>
      <c r="R394" s="279" t="s">
        <v>71</v>
      </c>
      <c r="S394" s="273">
        <f>6347+1587</f>
        <v>7934</v>
      </c>
      <c r="T394" s="273"/>
      <c r="U394" s="277">
        <f>U393</f>
        <v>12.78</v>
      </c>
      <c r="V394" s="271">
        <f t="shared" si="235"/>
        <v>101396.52</v>
      </c>
      <c r="W394" s="274">
        <f t="shared" si="236"/>
        <v>232872.48</v>
      </c>
      <c r="X394" s="2"/>
      <c r="Y394" s="148" t="s">
        <v>79</v>
      </c>
      <c r="Z394" s="149">
        <f t="shared" si="246"/>
        <v>77</v>
      </c>
      <c r="AA394" s="125">
        <f t="shared" si="247"/>
        <v>2008.8</v>
      </c>
      <c r="AB394" s="106">
        <f t="shared" si="248"/>
        <v>100</v>
      </c>
      <c r="AC394" s="98">
        <f t="shared" si="237"/>
        <v>131475.96</v>
      </c>
      <c r="AD394" s="145" t="s">
        <v>71</v>
      </c>
      <c r="AE394" s="146">
        <f>6347+1587</f>
        <v>7934</v>
      </c>
      <c r="AF394" s="146"/>
      <c r="AG394" s="125">
        <f>AG393</f>
        <v>12.78</v>
      </c>
      <c r="AH394" s="98">
        <f t="shared" si="238"/>
        <v>101396.52</v>
      </c>
      <c r="AI394" s="147">
        <f t="shared" si="239"/>
        <v>232872.48</v>
      </c>
    </row>
    <row r="395" spans="1:35" ht="30" customHeight="1" x14ac:dyDescent="0.15">
      <c r="A395" s="105" t="s">
        <v>80</v>
      </c>
      <c r="B395" s="108">
        <f t="shared" si="240"/>
        <v>77</v>
      </c>
      <c r="C395" s="109">
        <f t="shared" si="241"/>
        <v>1296</v>
      </c>
      <c r="D395" s="114">
        <f t="shared" si="242"/>
        <v>100</v>
      </c>
      <c r="E395" s="79">
        <f t="shared" si="231"/>
        <v>84823.2</v>
      </c>
      <c r="F395" s="80" t="s">
        <v>9</v>
      </c>
      <c r="G395" s="81">
        <v>7483</v>
      </c>
      <c r="H395" s="81"/>
      <c r="I395" s="109">
        <f>I386</f>
        <v>16.87</v>
      </c>
      <c r="J395" s="79">
        <f t="shared" si="232"/>
        <v>126238.21</v>
      </c>
      <c r="K395" s="82">
        <f t="shared" si="233"/>
        <v>211061.41</v>
      </c>
      <c r="L395" s="2"/>
      <c r="M395" s="275" t="s">
        <v>80</v>
      </c>
      <c r="N395" s="276">
        <f t="shared" si="243"/>
        <v>77</v>
      </c>
      <c r="O395" s="277">
        <f t="shared" si="244"/>
        <v>2008.8</v>
      </c>
      <c r="P395" s="278">
        <f t="shared" si="245"/>
        <v>100</v>
      </c>
      <c r="Q395" s="271">
        <f t="shared" si="234"/>
        <v>131475.96</v>
      </c>
      <c r="R395" s="279" t="s">
        <v>9</v>
      </c>
      <c r="S395" s="273">
        <v>7483</v>
      </c>
      <c r="T395" s="273"/>
      <c r="U395" s="277">
        <f>U386</f>
        <v>11.87</v>
      </c>
      <c r="V395" s="271">
        <f t="shared" si="235"/>
        <v>88823.21</v>
      </c>
      <c r="W395" s="274">
        <f t="shared" si="236"/>
        <v>220299.17</v>
      </c>
      <c r="X395" s="2"/>
      <c r="Y395" s="148" t="s">
        <v>80</v>
      </c>
      <c r="Z395" s="149">
        <f t="shared" si="246"/>
        <v>77</v>
      </c>
      <c r="AA395" s="125">
        <f t="shared" si="247"/>
        <v>2008.8</v>
      </c>
      <c r="AB395" s="106">
        <f t="shared" si="248"/>
        <v>100</v>
      </c>
      <c r="AC395" s="98">
        <f t="shared" si="237"/>
        <v>131475.96</v>
      </c>
      <c r="AD395" s="145" t="s">
        <v>9</v>
      </c>
      <c r="AE395" s="146">
        <v>7483</v>
      </c>
      <c r="AF395" s="146"/>
      <c r="AG395" s="125">
        <f>AG386</f>
        <v>11.87</v>
      </c>
      <c r="AH395" s="98">
        <f t="shared" si="238"/>
        <v>88823.21</v>
      </c>
      <c r="AI395" s="147">
        <f t="shared" si="239"/>
        <v>220299.17</v>
      </c>
    </row>
    <row r="396" spans="1:35" ht="30" customHeight="1" x14ac:dyDescent="0.15">
      <c r="A396" s="105" t="s">
        <v>81</v>
      </c>
      <c r="B396" s="108">
        <f t="shared" si="240"/>
        <v>77</v>
      </c>
      <c r="C396" s="109">
        <f t="shared" si="241"/>
        <v>1296</v>
      </c>
      <c r="D396" s="114">
        <f t="shared" si="242"/>
        <v>100</v>
      </c>
      <c r="E396" s="79">
        <f t="shared" si="231"/>
        <v>84823.2</v>
      </c>
      <c r="F396" s="80" t="s">
        <v>9</v>
      </c>
      <c r="G396" s="81">
        <v>8424</v>
      </c>
      <c r="H396" s="81"/>
      <c r="I396" s="118">
        <f>I395</f>
        <v>16.87</v>
      </c>
      <c r="J396" s="79">
        <f t="shared" si="232"/>
        <v>142112.88</v>
      </c>
      <c r="K396" s="82">
        <f t="shared" si="233"/>
        <v>226936.08</v>
      </c>
      <c r="L396" s="2"/>
      <c r="M396" s="275" t="s">
        <v>81</v>
      </c>
      <c r="N396" s="276">
        <f t="shared" si="243"/>
        <v>77</v>
      </c>
      <c r="O396" s="277">
        <f t="shared" si="244"/>
        <v>2008.8</v>
      </c>
      <c r="P396" s="278">
        <f t="shared" si="245"/>
        <v>100</v>
      </c>
      <c r="Q396" s="271">
        <f t="shared" si="234"/>
        <v>131475.96</v>
      </c>
      <c r="R396" s="279" t="s">
        <v>9</v>
      </c>
      <c r="S396" s="273">
        <v>8424</v>
      </c>
      <c r="T396" s="273"/>
      <c r="U396" s="280">
        <f>U395</f>
        <v>11.87</v>
      </c>
      <c r="V396" s="271">
        <f t="shared" si="235"/>
        <v>99992.88</v>
      </c>
      <c r="W396" s="274">
        <f t="shared" si="236"/>
        <v>231468.84</v>
      </c>
      <c r="X396" s="2"/>
      <c r="Y396" s="148" t="s">
        <v>81</v>
      </c>
      <c r="Z396" s="149">
        <f t="shared" si="246"/>
        <v>77</v>
      </c>
      <c r="AA396" s="125">
        <f t="shared" si="247"/>
        <v>2008.8</v>
      </c>
      <c r="AB396" s="106">
        <f t="shared" si="248"/>
        <v>100</v>
      </c>
      <c r="AC396" s="98">
        <f t="shared" si="237"/>
        <v>131475.96</v>
      </c>
      <c r="AD396" s="145" t="s">
        <v>9</v>
      </c>
      <c r="AE396" s="146">
        <v>8424</v>
      </c>
      <c r="AF396" s="146"/>
      <c r="AG396" s="127">
        <f>AG395</f>
        <v>11.87</v>
      </c>
      <c r="AH396" s="98">
        <f t="shared" si="238"/>
        <v>99992.88</v>
      </c>
      <c r="AI396" s="147">
        <f t="shared" si="239"/>
        <v>231468.84</v>
      </c>
    </row>
    <row r="397" spans="1:35" ht="30" customHeight="1" thickBot="1" x14ac:dyDescent="0.2">
      <c r="A397" s="84" t="s">
        <v>82</v>
      </c>
      <c r="B397" s="110">
        <f t="shared" si="240"/>
        <v>77</v>
      </c>
      <c r="C397" s="111">
        <f t="shared" si="241"/>
        <v>1296</v>
      </c>
      <c r="D397" s="115">
        <f t="shared" si="242"/>
        <v>100</v>
      </c>
      <c r="E397" s="85">
        <f t="shared" si="231"/>
        <v>84823.2</v>
      </c>
      <c r="F397" s="86" t="s">
        <v>9</v>
      </c>
      <c r="G397" s="87">
        <v>7656</v>
      </c>
      <c r="H397" s="87"/>
      <c r="I397" s="111">
        <f>I396</f>
        <v>16.87</v>
      </c>
      <c r="J397" s="85">
        <f t="shared" si="232"/>
        <v>129156.72</v>
      </c>
      <c r="K397" s="88">
        <f t="shared" si="233"/>
        <v>213979.92</v>
      </c>
      <c r="L397" s="2"/>
      <c r="M397" s="281" t="s">
        <v>82</v>
      </c>
      <c r="N397" s="282">
        <f t="shared" si="243"/>
        <v>77</v>
      </c>
      <c r="O397" s="283">
        <f t="shared" si="244"/>
        <v>2008.8</v>
      </c>
      <c r="P397" s="282">
        <f t="shared" si="245"/>
        <v>100</v>
      </c>
      <c r="Q397" s="284">
        <f t="shared" si="234"/>
        <v>131475.96</v>
      </c>
      <c r="R397" s="285" t="s">
        <v>9</v>
      </c>
      <c r="S397" s="286">
        <v>7656</v>
      </c>
      <c r="T397" s="286"/>
      <c r="U397" s="283">
        <f>U396</f>
        <v>11.87</v>
      </c>
      <c r="V397" s="284">
        <f t="shared" si="235"/>
        <v>90876.72</v>
      </c>
      <c r="W397" s="287">
        <f t="shared" si="236"/>
        <v>222352.68</v>
      </c>
      <c r="X397" s="2"/>
      <c r="Y397" s="150" t="s">
        <v>82</v>
      </c>
      <c r="Z397" s="151">
        <f t="shared" si="246"/>
        <v>77</v>
      </c>
      <c r="AA397" s="126">
        <f t="shared" si="247"/>
        <v>2008.8</v>
      </c>
      <c r="AB397" s="152">
        <f t="shared" si="248"/>
        <v>100</v>
      </c>
      <c r="AC397" s="99">
        <f t="shared" si="237"/>
        <v>131475.96</v>
      </c>
      <c r="AD397" s="153" t="s">
        <v>9</v>
      </c>
      <c r="AE397" s="154">
        <v>7656</v>
      </c>
      <c r="AF397" s="154"/>
      <c r="AG397" s="126">
        <f>AG396</f>
        <v>11.87</v>
      </c>
      <c r="AH397" s="99">
        <f t="shared" si="238"/>
        <v>90876.72</v>
      </c>
      <c r="AI397" s="155">
        <f t="shared" si="239"/>
        <v>222352.68</v>
      </c>
    </row>
    <row r="398" spans="1:35" ht="30" customHeight="1" thickBot="1" x14ac:dyDescent="0.2">
      <c r="A398" s="90" t="s">
        <v>41</v>
      </c>
      <c r="B398" s="91"/>
      <c r="C398" s="91"/>
      <c r="D398" s="91"/>
      <c r="E398" s="92">
        <f>SUM(E386:E397)</f>
        <v>1017878.3999999998</v>
      </c>
      <c r="F398" s="93"/>
      <c r="G398" s="94">
        <f>SUM(G386:G397)</f>
        <v>112567</v>
      </c>
      <c r="H398" s="94"/>
      <c r="I398" s="91"/>
      <c r="J398" s="92">
        <f>SUM(J386:J397)</f>
        <v>1935016.4899999995</v>
      </c>
      <c r="K398" s="95">
        <f>SUM(K386:K397)</f>
        <v>2952894.89</v>
      </c>
      <c r="L398" s="89" t="s">
        <v>113</v>
      </c>
      <c r="M398" s="288" t="s">
        <v>41</v>
      </c>
      <c r="N398" s="289"/>
      <c r="O398" s="289"/>
      <c r="P398" s="289"/>
      <c r="Q398" s="290">
        <f>SUM(Q386:Q397)</f>
        <v>1577711.5199999998</v>
      </c>
      <c r="R398" s="291"/>
      <c r="S398" s="292">
        <f>SUM(S386:S397)</f>
        <v>112567</v>
      </c>
      <c r="T398" s="292"/>
      <c r="U398" s="289"/>
      <c r="V398" s="290">
        <f>SUM(V386:V397)</f>
        <v>1359247.89</v>
      </c>
      <c r="W398" s="293">
        <f>SUM(W386:W397)</f>
        <v>2936959.4099999997</v>
      </c>
      <c r="X398" s="89" t="s">
        <v>113</v>
      </c>
      <c r="Y398" s="164" t="s">
        <v>41</v>
      </c>
      <c r="Z398" s="157"/>
      <c r="AA398" s="157"/>
      <c r="AB398" s="157"/>
      <c r="AC398" s="158">
        <f>SUM(AC386:AC397)</f>
        <v>1577711.5199999998</v>
      </c>
      <c r="AD398" s="159"/>
      <c r="AE398" s="160">
        <f>SUM(AE386:AE397)</f>
        <v>112567</v>
      </c>
      <c r="AF398" s="160"/>
      <c r="AG398" s="157"/>
      <c r="AH398" s="158">
        <f>SUM(AH386:AH397)</f>
        <v>1359247.89</v>
      </c>
      <c r="AI398" s="161">
        <f>SUM(AI386:AI397)</f>
        <v>2936959.4099999997</v>
      </c>
    </row>
    <row r="399" spans="1:35" ht="15" customHeight="1" x14ac:dyDescent="0.15">
      <c r="B399" s="4"/>
      <c r="C399" s="4"/>
      <c r="D399" s="4"/>
      <c r="E399" s="4"/>
      <c r="F399" s="4"/>
      <c r="G399" s="4"/>
      <c r="H399" s="4"/>
      <c r="I399" s="4"/>
      <c r="J399" s="4"/>
      <c r="K399" s="4"/>
      <c r="L399" s="89"/>
      <c r="M399" s="258"/>
      <c r="N399" s="294"/>
      <c r="O399" s="294"/>
      <c r="P399" s="294"/>
      <c r="Q399" s="294"/>
      <c r="R399" s="294"/>
      <c r="S399" s="294"/>
      <c r="T399" s="294"/>
      <c r="U399" s="294"/>
      <c r="V399" s="294"/>
      <c r="W399" s="294"/>
      <c r="X399" s="89"/>
      <c r="Z399" s="162"/>
      <c r="AA399" s="162"/>
      <c r="AB399" s="162"/>
      <c r="AC399" s="162"/>
      <c r="AD399" s="162"/>
      <c r="AE399" s="162"/>
      <c r="AF399" s="162"/>
      <c r="AG399" s="162"/>
      <c r="AH399" s="162"/>
      <c r="AI399" s="162"/>
    </row>
    <row r="400" spans="1:35" x14ac:dyDescent="0.15">
      <c r="A400" s="5" t="s">
        <v>153</v>
      </c>
      <c r="B400" s="31">
        <f>B375+1</f>
        <v>15</v>
      </c>
      <c r="K400" s="551" t="str">
        <f>IF(K423-W423&lt;=0,"現状のまま","メニュー変更")</f>
        <v>メニュー変更</v>
      </c>
      <c r="L400" s="2"/>
      <c r="M400" s="255" t="s">
        <v>153</v>
      </c>
      <c r="N400" s="256">
        <f>N375+1</f>
        <v>15</v>
      </c>
      <c r="O400" s="257"/>
      <c r="P400" s="257"/>
      <c r="Q400" s="257"/>
      <c r="R400" s="257"/>
      <c r="S400" s="257"/>
      <c r="T400" s="257"/>
      <c r="U400" s="257"/>
      <c r="V400" s="257"/>
      <c r="W400" s="257"/>
      <c r="X400" s="2"/>
      <c r="Y400" s="47" t="s">
        <v>153</v>
      </c>
      <c r="Z400" s="62" t="e">
        <f>Z375+1</f>
        <v>#REF!</v>
      </c>
    </row>
    <row r="401" spans="1:35" x14ac:dyDescent="0.15">
      <c r="K401" s="551"/>
      <c r="L401" s="2"/>
      <c r="M401" s="258"/>
      <c r="N401" s="257"/>
      <c r="O401" s="257"/>
      <c r="P401" s="257"/>
      <c r="Q401" s="257"/>
      <c r="R401" s="257"/>
      <c r="S401" s="257"/>
      <c r="T401" s="257"/>
      <c r="U401" s="257"/>
      <c r="V401" s="257"/>
      <c r="W401" s="257"/>
      <c r="X401" s="2"/>
    </row>
    <row r="402" spans="1:35" x14ac:dyDescent="0.15">
      <c r="K402" s="551"/>
      <c r="L402" s="2"/>
      <c r="M402" s="258"/>
      <c r="N402" s="257"/>
      <c r="O402" s="257"/>
      <c r="P402" s="257"/>
      <c r="Q402" s="257"/>
      <c r="R402" s="257"/>
      <c r="S402" s="257"/>
      <c r="T402" s="257"/>
      <c r="U402" s="257"/>
      <c r="V402" s="257"/>
      <c r="W402" s="257"/>
      <c r="X402" s="2"/>
    </row>
    <row r="403" spans="1:35" ht="17.25" x14ac:dyDescent="0.15">
      <c r="A403" s="552" t="str">
        <f>$A$5</f>
        <v>平成29年度小郡市役所庁舎外25施設電力需給</v>
      </c>
      <c r="B403" s="552"/>
      <c r="C403" s="552"/>
      <c r="D403" s="552"/>
      <c r="E403" s="552"/>
      <c r="F403" s="552"/>
      <c r="G403" s="552"/>
      <c r="H403" s="552"/>
      <c r="I403" s="552"/>
      <c r="J403" s="552"/>
      <c r="K403" s="552"/>
      <c r="L403" s="2"/>
      <c r="M403" s="721" t="str">
        <f>$A$5</f>
        <v>平成29年度小郡市役所庁舎外25施設電力需給</v>
      </c>
      <c r="N403" s="721"/>
      <c r="O403" s="721"/>
      <c r="P403" s="721"/>
      <c r="Q403" s="721"/>
      <c r="R403" s="721"/>
      <c r="S403" s="721"/>
      <c r="T403" s="721"/>
      <c r="U403" s="721"/>
      <c r="V403" s="721"/>
      <c r="W403" s="721"/>
      <c r="X403" s="2"/>
      <c r="Y403" s="553" t="str">
        <f>$A$5</f>
        <v>平成29年度小郡市役所庁舎外25施設電力需給</v>
      </c>
      <c r="Z403" s="553"/>
      <c r="AA403" s="553"/>
      <c r="AB403" s="553"/>
      <c r="AC403" s="553"/>
      <c r="AD403" s="553"/>
      <c r="AE403" s="553"/>
      <c r="AF403" s="553"/>
      <c r="AG403" s="553"/>
      <c r="AH403" s="553"/>
      <c r="AI403" s="553"/>
    </row>
    <row r="404" spans="1:35" x14ac:dyDescent="0.15">
      <c r="A404" s="554" t="str">
        <f>$A$6</f>
        <v>（平成３０年１月～平成３０年１２月期間中の予定金額）</v>
      </c>
      <c r="B404" s="554"/>
      <c r="C404" s="554"/>
      <c r="D404" s="554"/>
      <c r="E404" s="554"/>
      <c r="F404" s="554"/>
      <c r="G404" s="554"/>
      <c r="H404" s="554"/>
      <c r="I404" s="554"/>
      <c r="J404" s="554"/>
      <c r="K404" s="554"/>
      <c r="L404" s="2"/>
      <c r="M404" s="722" t="str">
        <f>$A$6</f>
        <v>（平成３０年１月～平成３０年１２月期間中の予定金額）</v>
      </c>
      <c r="N404" s="722"/>
      <c r="O404" s="722"/>
      <c r="P404" s="722"/>
      <c r="Q404" s="722"/>
      <c r="R404" s="722"/>
      <c r="S404" s="722"/>
      <c r="T404" s="722"/>
      <c r="U404" s="722"/>
      <c r="V404" s="722"/>
      <c r="W404" s="722"/>
      <c r="X404" s="2"/>
      <c r="Y404" s="555" t="str">
        <f>$A$6</f>
        <v>（平成３０年１月～平成３０年１２月期間中の予定金額）</v>
      </c>
      <c r="Z404" s="555"/>
      <c r="AA404" s="555"/>
      <c r="AB404" s="555"/>
      <c r="AC404" s="555"/>
      <c r="AD404" s="555"/>
      <c r="AE404" s="555"/>
      <c r="AF404" s="555"/>
      <c r="AG404" s="555"/>
      <c r="AH404" s="555"/>
      <c r="AI404" s="555"/>
    </row>
    <row r="405" spans="1:35" ht="14.25" thickBot="1" x14ac:dyDescent="0.2">
      <c r="A405" s="73" t="s">
        <v>139</v>
      </c>
      <c r="B405" s="73"/>
      <c r="K405" s="5" t="s">
        <v>70</v>
      </c>
      <c r="L405" s="2"/>
      <c r="M405" s="259" t="s">
        <v>139</v>
      </c>
      <c r="N405" s="259"/>
      <c r="O405" s="257"/>
      <c r="P405" s="257"/>
      <c r="Q405" s="257"/>
      <c r="R405" s="257"/>
      <c r="S405" s="257"/>
      <c r="T405" s="257"/>
      <c r="U405" s="257"/>
      <c r="V405" s="257"/>
      <c r="W405" s="255" t="s">
        <v>84</v>
      </c>
      <c r="X405" s="2"/>
      <c r="Y405" s="134" t="s">
        <v>139</v>
      </c>
      <c r="Z405" s="134"/>
      <c r="AI405" s="47" t="s">
        <v>84</v>
      </c>
    </row>
    <row r="406" spans="1:35" ht="18" customHeight="1" thickBot="1" x14ac:dyDescent="0.2">
      <c r="A406" s="556" t="s">
        <v>33</v>
      </c>
      <c r="B406" s="559" t="s">
        <v>24</v>
      </c>
      <c r="C406" s="560"/>
      <c r="D406" s="560"/>
      <c r="E406" s="561"/>
      <c r="F406" s="562" t="s">
        <v>34</v>
      </c>
      <c r="G406" s="563"/>
      <c r="H406" s="563"/>
      <c r="I406" s="563"/>
      <c r="J406" s="564"/>
      <c r="K406" s="565" t="s">
        <v>35</v>
      </c>
      <c r="L406" s="2"/>
      <c r="M406" s="723" t="s">
        <v>33</v>
      </c>
      <c r="N406" s="726" t="s">
        <v>24</v>
      </c>
      <c r="O406" s="727"/>
      <c r="P406" s="727"/>
      <c r="Q406" s="728"/>
      <c r="R406" s="729" t="s">
        <v>34</v>
      </c>
      <c r="S406" s="730"/>
      <c r="T406" s="730"/>
      <c r="U406" s="730"/>
      <c r="V406" s="731"/>
      <c r="W406" s="732" t="s">
        <v>35</v>
      </c>
      <c r="X406" s="2"/>
      <c r="Y406" s="567" t="s">
        <v>33</v>
      </c>
      <c r="Z406" s="570" t="s">
        <v>24</v>
      </c>
      <c r="AA406" s="571"/>
      <c r="AB406" s="571"/>
      <c r="AC406" s="572"/>
      <c r="AD406" s="573" t="s">
        <v>34</v>
      </c>
      <c r="AE406" s="574"/>
      <c r="AF406" s="574"/>
      <c r="AG406" s="574"/>
      <c r="AH406" s="575"/>
      <c r="AI406" s="544" t="s">
        <v>35</v>
      </c>
    </row>
    <row r="407" spans="1:35" ht="13.5" customHeight="1" x14ac:dyDescent="0.15">
      <c r="A407" s="557"/>
      <c r="B407" s="576" t="s">
        <v>28</v>
      </c>
      <c r="C407" s="565" t="s">
        <v>29</v>
      </c>
      <c r="D407" s="576" t="s">
        <v>25</v>
      </c>
      <c r="E407" s="577" t="s">
        <v>31</v>
      </c>
      <c r="F407" s="578" t="s">
        <v>36</v>
      </c>
      <c r="G407" s="579"/>
      <c r="H407" s="119"/>
      <c r="I407" s="565" t="s">
        <v>37</v>
      </c>
      <c r="J407" s="576" t="s">
        <v>38</v>
      </c>
      <c r="K407" s="566"/>
      <c r="L407" s="2"/>
      <c r="M407" s="724"/>
      <c r="N407" s="718" t="s">
        <v>28</v>
      </c>
      <c r="O407" s="732" t="s">
        <v>29</v>
      </c>
      <c r="P407" s="718" t="s">
        <v>25</v>
      </c>
      <c r="Q407" s="738" t="s">
        <v>31</v>
      </c>
      <c r="R407" s="734" t="s">
        <v>36</v>
      </c>
      <c r="S407" s="735"/>
      <c r="T407" s="260"/>
      <c r="U407" s="732" t="s">
        <v>37</v>
      </c>
      <c r="V407" s="718" t="s">
        <v>38</v>
      </c>
      <c r="W407" s="733"/>
      <c r="X407" s="2"/>
      <c r="Y407" s="568"/>
      <c r="Z407" s="546" t="s">
        <v>28</v>
      </c>
      <c r="AA407" s="544" t="s">
        <v>29</v>
      </c>
      <c r="AB407" s="546" t="s">
        <v>25</v>
      </c>
      <c r="AC407" s="582" t="s">
        <v>31</v>
      </c>
      <c r="AD407" s="540" t="s">
        <v>36</v>
      </c>
      <c r="AE407" s="541"/>
      <c r="AF407" s="135"/>
      <c r="AG407" s="544" t="s">
        <v>37</v>
      </c>
      <c r="AH407" s="546" t="s">
        <v>38</v>
      </c>
      <c r="AI407" s="545"/>
    </row>
    <row r="408" spans="1:35" x14ac:dyDescent="0.15">
      <c r="A408" s="557"/>
      <c r="B408" s="576"/>
      <c r="C408" s="566"/>
      <c r="D408" s="576"/>
      <c r="E408" s="576"/>
      <c r="F408" s="580"/>
      <c r="G408" s="581"/>
      <c r="H408" s="120"/>
      <c r="I408" s="566"/>
      <c r="J408" s="576"/>
      <c r="K408" s="566"/>
      <c r="L408" s="2"/>
      <c r="M408" s="724"/>
      <c r="N408" s="718"/>
      <c r="O408" s="733"/>
      <c r="P408" s="718"/>
      <c r="Q408" s="718"/>
      <c r="R408" s="736"/>
      <c r="S408" s="737"/>
      <c r="T408" s="261"/>
      <c r="U408" s="733"/>
      <c r="V408" s="718"/>
      <c r="W408" s="733"/>
      <c r="X408" s="2"/>
      <c r="Y408" s="568"/>
      <c r="Z408" s="546"/>
      <c r="AA408" s="545"/>
      <c r="AB408" s="546"/>
      <c r="AC408" s="546"/>
      <c r="AD408" s="542"/>
      <c r="AE408" s="543"/>
      <c r="AF408" s="136"/>
      <c r="AG408" s="545"/>
      <c r="AH408" s="546"/>
      <c r="AI408" s="545"/>
    </row>
    <row r="409" spans="1:35" ht="23.25" customHeight="1" x14ac:dyDescent="0.15">
      <c r="A409" s="557"/>
      <c r="B409" s="74" t="s">
        <v>13</v>
      </c>
      <c r="C409" s="75" t="s">
        <v>30</v>
      </c>
      <c r="D409" s="74" t="s">
        <v>14</v>
      </c>
      <c r="E409" s="74" t="s">
        <v>40</v>
      </c>
      <c r="F409" s="547" t="s">
        <v>15</v>
      </c>
      <c r="G409" s="548"/>
      <c r="H409" s="121"/>
      <c r="I409" s="75" t="s">
        <v>30</v>
      </c>
      <c r="J409" s="74" t="s">
        <v>40</v>
      </c>
      <c r="K409" s="74" t="s">
        <v>40</v>
      </c>
      <c r="L409" s="2"/>
      <c r="M409" s="724"/>
      <c r="N409" s="262" t="s">
        <v>152</v>
      </c>
      <c r="O409" s="263" t="s">
        <v>30</v>
      </c>
      <c r="P409" s="262" t="s">
        <v>14</v>
      </c>
      <c r="Q409" s="262" t="s">
        <v>40</v>
      </c>
      <c r="R409" s="719" t="s">
        <v>15</v>
      </c>
      <c r="S409" s="720"/>
      <c r="T409" s="264"/>
      <c r="U409" s="263" t="s">
        <v>30</v>
      </c>
      <c r="V409" s="262" t="s">
        <v>40</v>
      </c>
      <c r="W409" s="262" t="s">
        <v>40</v>
      </c>
      <c r="X409" s="2"/>
      <c r="Y409" s="568"/>
      <c r="Z409" s="137" t="s">
        <v>152</v>
      </c>
      <c r="AA409" s="138" t="s">
        <v>30</v>
      </c>
      <c r="AB409" s="137" t="s">
        <v>14</v>
      </c>
      <c r="AC409" s="137" t="s">
        <v>40</v>
      </c>
      <c r="AD409" s="549" t="s">
        <v>15</v>
      </c>
      <c r="AE409" s="550"/>
      <c r="AF409" s="139"/>
      <c r="AG409" s="138" t="s">
        <v>30</v>
      </c>
      <c r="AH409" s="137" t="s">
        <v>40</v>
      </c>
      <c r="AI409" s="137" t="s">
        <v>40</v>
      </c>
    </row>
    <row r="410" spans="1:35" ht="15.75" customHeight="1" thickBot="1" x14ac:dyDescent="0.2">
      <c r="A410" s="558"/>
      <c r="B410" s="76" t="s">
        <v>16</v>
      </c>
      <c r="C410" s="76" t="s">
        <v>17</v>
      </c>
      <c r="D410" s="76" t="s">
        <v>18</v>
      </c>
      <c r="E410" s="76" t="s">
        <v>19</v>
      </c>
      <c r="F410" s="77"/>
      <c r="G410" s="78" t="s">
        <v>20</v>
      </c>
      <c r="H410" s="78"/>
      <c r="I410" s="76" t="s">
        <v>21</v>
      </c>
      <c r="J410" s="76" t="s">
        <v>22</v>
      </c>
      <c r="K410" s="78" t="s">
        <v>23</v>
      </c>
      <c r="L410" s="2"/>
      <c r="M410" s="725"/>
      <c r="N410" s="265" t="s">
        <v>16</v>
      </c>
      <c r="O410" s="265" t="s">
        <v>17</v>
      </c>
      <c r="P410" s="265" t="s">
        <v>18</v>
      </c>
      <c r="Q410" s="265" t="s">
        <v>19</v>
      </c>
      <c r="R410" s="266"/>
      <c r="S410" s="267" t="s">
        <v>20</v>
      </c>
      <c r="T410" s="267"/>
      <c r="U410" s="265" t="s">
        <v>21</v>
      </c>
      <c r="V410" s="265" t="s">
        <v>22</v>
      </c>
      <c r="W410" s="267" t="s">
        <v>23</v>
      </c>
      <c r="X410" s="2"/>
      <c r="Y410" s="569"/>
      <c r="Z410" s="122" t="s">
        <v>16</v>
      </c>
      <c r="AA410" s="122" t="s">
        <v>17</v>
      </c>
      <c r="AB410" s="122" t="s">
        <v>18</v>
      </c>
      <c r="AC410" s="122" t="s">
        <v>19</v>
      </c>
      <c r="AD410" s="140"/>
      <c r="AE410" s="141" t="s">
        <v>20</v>
      </c>
      <c r="AF410" s="141"/>
      <c r="AG410" s="122" t="s">
        <v>21</v>
      </c>
      <c r="AH410" s="122" t="s">
        <v>22</v>
      </c>
      <c r="AI410" s="141" t="s">
        <v>23</v>
      </c>
    </row>
    <row r="411" spans="1:35" ht="30" customHeight="1" x14ac:dyDescent="0.15">
      <c r="A411" s="107" t="s">
        <v>83</v>
      </c>
      <c r="B411" s="112">
        <v>160</v>
      </c>
      <c r="C411" s="113">
        <v>2008.8</v>
      </c>
      <c r="D411" s="117">
        <v>100</v>
      </c>
      <c r="E411" s="79">
        <f t="shared" ref="E411:E422" si="249">ROUNDDOWN(B411*C411*((185-D411)/100),2)</f>
        <v>273196.79999999999</v>
      </c>
      <c r="F411" s="80" t="s">
        <v>85</v>
      </c>
      <c r="G411" s="81">
        <v>22890</v>
      </c>
      <c r="H411" s="81"/>
      <c r="I411" s="116">
        <v>11.87</v>
      </c>
      <c r="J411" s="79">
        <f t="shared" ref="J411:J422" si="250">ROUNDDOWN(G411*I411,2)</f>
        <v>271704.3</v>
      </c>
      <c r="K411" s="82">
        <f t="shared" ref="K411:K422" si="251">ROUNDDOWN(J411+E411,2)</f>
        <v>544901.1</v>
      </c>
      <c r="L411" s="2"/>
      <c r="M411" s="268" t="s">
        <v>83</v>
      </c>
      <c r="N411" s="269">
        <v>160</v>
      </c>
      <c r="O411" s="270">
        <v>1296</v>
      </c>
      <c r="P411" s="269">
        <v>100</v>
      </c>
      <c r="Q411" s="271">
        <f t="shared" ref="Q411:Q422" si="252">ROUNDDOWN(N411*O411*((185-P411)/100),2)</f>
        <v>176256</v>
      </c>
      <c r="R411" s="279" t="s">
        <v>85</v>
      </c>
      <c r="S411" s="273">
        <v>22890</v>
      </c>
      <c r="T411" s="273"/>
      <c r="U411" s="270">
        <v>16.87</v>
      </c>
      <c r="V411" s="271">
        <f t="shared" ref="V411:V422" si="253">ROUNDDOWN(S411*U411,2)</f>
        <v>386154.3</v>
      </c>
      <c r="W411" s="274">
        <f t="shared" ref="W411:W422" si="254">ROUNDDOWN(V411+Q411,2)</f>
        <v>562410.30000000005</v>
      </c>
      <c r="X411" s="2"/>
      <c r="Y411" s="142" t="s">
        <v>83</v>
      </c>
      <c r="Z411" s="143">
        <v>125</v>
      </c>
      <c r="AA411" s="123">
        <v>1296</v>
      </c>
      <c r="AB411" s="163">
        <v>100</v>
      </c>
      <c r="AC411" s="98">
        <f t="shared" ref="AC411:AC422" si="255">ROUNDDOWN(Z411*AA411*((185-AB411)/100),2)</f>
        <v>137700</v>
      </c>
      <c r="AD411" s="145" t="s">
        <v>85</v>
      </c>
      <c r="AE411" s="146">
        <v>22890</v>
      </c>
      <c r="AF411" s="146"/>
      <c r="AG411" s="124">
        <v>16.87</v>
      </c>
      <c r="AH411" s="98">
        <f t="shared" ref="AH411:AH422" si="256">ROUNDDOWN(AE411*AG411,2)</f>
        <v>386154.3</v>
      </c>
      <c r="AI411" s="147">
        <f t="shared" ref="AI411:AI422" si="257">ROUNDDOWN(AH411+AC411,2)</f>
        <v>523854.3</v>
      </c>
    </row>
    <row r="412" spans="1:35" ht="30" customHeight="1" x14ac:dyDescent="0.15">
      <c r="A412" s="105" t="s">
        <v>72</v>
      </c>
      <c r="B412" s="108">
        <f t="shared" ref="B412:B422" si="258">B411</f>
        <v>160</v>
      </c>
      <c r="C412" s="109">
        <f t="shared" ref="C412:C422" si="259">C411</f>
        <v>2008.8</v>
      </c>
      <c r="D412" s="114">
        <f t="shared" ref="D412:D422" si="260">D411</f>
        <v>100</v>
      </c>
      <c r="E412" s="79">
        <f t="shared" si="249"/>
        <v>273196.79999999999</v>
      </c>
      <c r="F412" s="80" t="s">
        <v>112</v>
      </c>
      <c r="G412" s="81">
        <v>20946</v>
      </c>
      <c r="H412" s="81"/>
      <c r="I412" s="109">
        <f>I411</f>
        <v>11.87</v>
      </c>
      <c r="J412" s="79">
        <f t="shared" si="250"/>
        <v>248629.02</v>
      </c>
      <c r="K412" s="82">
        <f t="shared" si="251"/>
        <v>521825.82</v>
      </c>
      <c r="L412" s="2"/>
      <c r="M412" s="275" t="s">
        <v>72</v>
      </c>
      <c r="N412" s="276">
        <f t="shared" ref="N412:N422" si="261">N411</f>
        <v>160</v>
      </c>
      <c r="O412" s="277">
        <f t="shared" ref="O412:O422" si="262">O411</f>
        <v>1296</v>
      </c>
      <c r="P412" s="278">
        <f t="shared" ref="P412:P422" si="263">P411</f>
        <v>100</v>
      </c>
      <c r="Q412" s="271">
        <f t="shared" si="252"/>
        <v>176256</v>
      </c>
      <c r="R412" s="279" t="s">
        <v>112</v>
      </c>
      <c r="S412" s="273">
        <v>20946</v>
      </c>
      <c r="T412" s="273"/>
      <c r="U412" s="277">
        <f>U411</f>
        <v>16.87</v>
      </c>
      <c r="V412" s="271">
        <f t="shared" si="253"/>
        <v>353359.02</v>
      </c>
      <c r="W412" s="274">
        <f t="shared" si="254"/>
        <v>529615.02</v>
      </c>
      <c r="X412" s="2"/>
      <c r="Y412" s="148" t="s">
        <v>72</v>
      </c>
      <c r="Z412" s="149">
        <f t="shared" ref="Z412:Z422" si="264">Z411</f>
        <v>125</v>
      </c>
      <c r="AA412" s="125">
        <f t="shared" ref="AA412:AA422" si="265">AA411</f>
        <v>1296</v>
      </c>
      <c r="AB412" s="106">
        <f t="shared" ref="AB412:AB422" si="266">AB411</f>
        <v>100</v>
      </c>
      <c r="AC412" s="98">
        <f t="shared" si="255"/>
        <v>137700</v>
      </c>
      <c r="AD412" s="145" t="s">
        <v>112</v>
      </c>
      <c r="AE412" s="146">
        <v>20946</v>
      </c>
      <c r="AF412" s="146"/>
      <c r="AG412" s="125">
        <f>AG411</f>
        <v>16.87</v>
      </c>
      <c r="AH412" s="98">
        <f t="shared" si="256"/>
        <v>353359.02</v>
      </c>
      <c r="AI412" s="147">
        <f t="shared" si="257"/>
        <v>491059.02</v>
      </c>
    </row>
    <row r="413" spans="1:35" ht="30" customHeight="1" x14ac:dyDescent="0.15">
      <c r="A413" s="105" t="s">
        <v>73</v>
      </c>
      <c r="B413" s="108">
        <f t="shared" si="258"/>
        <v>160</v>
      </c>
      <c r="C413" s="109">
        <f t="shared" si="259"/>
        <v>2008.8</v>
      </c>
      <c r="D413" s="114">
        <f t="shared" si="260"/>
        <v>100</v>
      </c>
      <c r="E413" s="79">
        <f t="shared" si="249"/>
        <v>273196.79999999999</v>
      </c>
      <c r="F413" s="80" t="s">
        <v>9</v>
      </c>
      <c r="G413" s="81">
        <v>15360</v>
      </c>
      <c r="H413" s="81"/>
      <c r="I413" s="109">
        <f>I412</f>
        <v>11.87</v>
      </c>
      <c r="J413" s="79">
        <f t="shared" si="250"/>
        <v>182323.20000000001</v>
      </c>
      <c r="K413" s="82">
        <f t="shared" si="251"/>
        <v>455520</v>
      </c>
      <c r="L413" s="2"/>
      <c r="M413" s="275" t="s">
        <v>73</v>
      </c>
      <c r="N413" s="276">
        <f t="shared" si="261"/>
        <v>160</v>
      </c>
      <c r="O413" s="277">
        <f t="shared" si="262"/>
        <v>1296</v>
      </c>
      <c r="P413" s="278">
        <f t="shared" si="263"/>
        <v>100</v>
      </c>
      <c r="Q413" s="271">
        <f t="shared" si="252"/>
        <v>176256</v>
      </c>
      <c r="R413" s="279" t="s">
        <v>9</v>
      </c>
      <c r="S413" s="273">
        <v>15360</v>
      </c>
      <c r="T413" s="273"/>
      <c r="U413" s="277">
        <f>U412</f>
        <v>16.87</v>
      </c>
      <c r="V413" s="271">
        <f t="shared" si="253"/>
        <v>259123.20000000001</v>
      </c>
      <c r="W413" s="274">
        <f t="shared" si="254"/>
        <v>435379.20000000001</v>
      </c>
      <c r="X413" s="2"/>
      <c r="Y413" s="148" t="s">
        <v>73</v>
      </c>
      <c r="Z413" s="149">
        <f t="shared" si="264"/>
        <v>125</v>
      </c>
      <c r="AA413" s="125">
        <f t="shared" si="265"/>
        <v>1296</v>
      </c>
      <c r="AB413" s="106">
        <f t="shared" si="266"/>
        <v>100</v>
      </c>
      <c r="AC413" s="98">
        <f t="shared" si="255"/>
        <v>137700</v>
      </c>
      <c r="AD413" s="145" t="s">
        <v>9</v>
      </c>
      <c r="AE413" s="146">
        <v>15360</v>
      </c>
      <c r="AF413" s="146"/>
      <c r="AG413" s="125">
        <f>AG412</f>
        <v>16.87</v>
      </c>
      <c r="AH413" s="98">
        <f t="shared" si="256"/>
        <v>259123.20000000001</v>
      </c>
      <c r="AI413" s="147">
        <f t="shared" si="257"/>
        <v>396823.2</v>
      </c>
    </row>
    <row r="414" spans="1:35" ht="30" customHeight="1" x14ac:dyDescent="0.15">
      <c r="A414" s="105" t="s">
        <v>74</v>
      </c>
      <c r="B414" s="108">
        <f t="shared" si="258"/>
        <v>160</v>
      </c>
      <c r="C414" s="109">
        <f t="shared" si="259"/>
        <v>2008.8</v>
      </c>
      <c r="D414" s="114">
        <f t="shared" si="260"/>
        <v>100</v>
      </c>
      <c r="E414" s="79">
        <f t="shared" si="249"/>
        <v>273196.79999999999</v>
      </c>
      <c r="F414" s="80" t="s">
        <v>9</v>
      </c>
      <c r="G414" s="81">
        <v>14220</v>
      </c>
      <c r="H414" s="81"/>
      <c r="I414" s="109">
        <f>I413</f>
        <v>11.87</v>
      </c>
      <c r="J414" s="79">
        <f t="shared" si="250"/>
        <v>168791.4</v>
      </c>
      <c r="K414" s="82">
        <f t="shared" si="251"/>
        <v>441988.2</v>
      </c>
      <c r="L414" s="2"/>
      <c r="M414" s="275" t="s">
        <v>74</v>
      </c>
      <c r="N414" s="276">
        <f t="shared" si="261"/>
        <v>160</v>
      </c>
      <c r="O414" s="277">
        <f t="shared" si="262"/>
        <v>1296</v>
      </c>
      <c r="P414" s="278">
        <f t="shared" si="263"/>
        <v>100</v>
      </c>
      <c r="Q414" s="271">
        <f t="shared" si="252"/>
        <v>176256</v>
      </c>
      <c r="R414" s="279" t="s">
        <v>9</v>
      </c>
      <c r="S414" s="273">
        <v>14220</v>
      </c>
      <c r="T414" s="273"/>
      <c r="U414" s="277">
        <f>U413</f>
        <v>16.87</v>
      </c>
      <c r="V414" s="271">
        <f t="shared" si="253"/>
        <v>239891.4</v>
      </c>
      <c r="W414" s="274">
        <f t="shared" si="254"/>
        <v>416147.4</v>
      </c>
      <c r="X414" s="2"/>
      <c r="Y414" s="148" t="s">
        <v>74</v>
      </c>
      <c r="Z414" s="149">
        <f t="shared" si="264"/>
        <v>125</v>
      </c>
      <c r="AA414" s="125">
        <f t="shared" si="265"/>
        <v>1296</v>
      </c>
      <c r="AB414" s="106">
        <f t="shared" si="266"/>
        <v>100</v>
      </c>
      <c r="AC414" s="98">
        <f t="shared" si="255"/>
        <v>137700</v>
      </c>
      <c r="AD414" s="145" t="s">
        <v>9</v>
      </c>
      <c r="AE414" s="146">
        <v>14220</v>
      </c>
      <c r="AF414" s="146"/>
      <c r="AG414" s="125">
        <f>AG413</f>
        <v>16.87</v>
      </c>
      <c r="AH414" s="98">
        <f t="shared" si="256"/>
        <v>239891.4</v>
      </c>
      <c r="AI414" s="147">
        <f t="shared" si="257"/>
        <v>377591.4</v>
      </c>
    </row>
    <row r="415" spans="1:35" ht="30" customHeight="1" x14ac:dyDescent="0.15">
      <c r="A415" s="105" t="s">
        <v>75</v>
      </c>
      <c r="B415" s="108">
        <f t="shared" si="258"/>
        <v>160</v>
      </c>
      <c r="C415" s="109">
        <f t="shared" si="259"/>
        <v>2008.8</v>
      </c>
      <c r="D415" s="114">
        <f t="shared" si="260"/>
        <v>100</v>
      </c>
      <c r="E415" s="79">
        <f t="shared" si="249"/>
        <v>273196.79999999999</v>
      </c>
      <c r="F415" s="80" t="s">
        <v>9</v>
      </c>
      <c r="G415" s="81">
        <v>13902</v>
      </c>
      <c r="H415" s="81"/>
      <c r="I415" s="109">
        <f>I414</f>
        <v>11.87</v>
      </c>
      <c r="J415" s="79">
        <f t="shared" si="250"/>
        <v>165016.74</v>
      </c>
      <c r="K415" s="82">
        <f t="shared" si="251"/>
        <v>438213.54</v>
      </c>
      <c r="L415" s="2"/>
      <c r="M415" s="275" t="s">
        <v>75</v>
      </c>
      <c r="N415" s="276">
        <f t="shared" si="261"/>
        <v>160</v>
      </c>
      <c r="O415" s="277">
        <f t="shared" si="262"/>
        <v>1296</v>
      </c>
      <c r="P415" s="278">
        <f t="shared" si="263"/>
        <v>100</v>
      </c>
      <c r="Q415" s="271">
        <f t="shared" si="252"/>
        <v>176256</v>
      </c>
      <c r="R415" s="279" t="s">
        <v>9</v>
      </c>
      <c r="S415" s="273">
        <v>13902</v>
      </c>
      <c r="T415" s="273"/>
      <c r="U415" s="277">
        <f>U414</f>
        <v>16.87</v>
      </c>
      <c r="V415" s="271">
        <f t="shared" si="253"/>
        <v>234526.74</v>
      </c>
      <c r="W415" s="274">
        <f t="shared" si="254"/>
        <v>410782.74</v>
      </c>
      <c r="X415" s="2"/>
      <c r="Y415" s="148" t="s">
        <v>75</v>
      </c>
      <c r="Z415" s="149">
        <f t="shared" si="264"/>
        <v>125</v>
      </c>
      <c r="AA415" s="125">
        <f t="shared" si="265"/>
        <v>1296</v>
      </c>
      <c r="AB415" s="106">
        <f t="shared" si="266"/>
        <v>100</v>
      </c>
      <c r="AC415" s="98">
        <f t="shared" si="255"/>
        <v>137700</v>
      </c>
      <c r="AD415" s="145" t="s">
        <v>9</v>
      </c>
      <c r="AE415" s="146">
        <v>13902</v>
      </c>
      <c r="AF415" s="146"/>
      <c r="AG415" s="125">
        <f>AG414</f>
        <v>16.87</v>
      </c>
      <c r="AH415" s="98">
        <f t="shared" si="256"/>
        <v>234526.74</v>
      </c>
      <c r="AI415" s="147">
        <f t="shared" si="257"/>
        <v>372226.74</v>
      </c>
    </row>
    <row r="416" spans="1:35" ht="30" customHeight="1" x14ac:dyDescent="0.15">
      <c r="A416" s="105" t="s">
        <v>76</v>
      </c>
      <c r="B416" s="108">
        <f t="shared" si="258"/>
        <v>160</v>
      </c>
      <c r="C416" s="109">
        <f t="shared" si="259"/>
        <v>2008.8</v>
      </c>
      <c r="D416" s="114">
        <f t="shared" si="260"/>
        <v>100</v>
      </c>
      <c r="E416" s="79">
        <f t="shared" si="249"/>
        <v>273196.79999999999</v>
      </c>
      <c r="F416" s="80" t="s">
        <v>9</v>
      </c>
      <c r="G416" s="81">
        <v>19656</v>
      </c>
      <c r="H416" s="81"/>
      <c r="I416" s="109">
        <f>I415</f>
        <v>11.87</v>
      </c>
      <c r="J416" s="79">
        <f t="shared" si="250"/>
        <v>233316.72</v>
      </c>
      <c r="K416" s="82">
        <f t="shared" si="251"/>
        <v>506513.52</v>
      </c>
      <c r="L416" s="2"/>
      <c r="M416" s="275" t="s">
        <v>76</v>
      </c>
      <c r="N416" s="276">
        <f t="shared" si="261"/>
        <v>160</v>
      </c>
      <c r="O416" s="277">
        <f t="shared" si="262"/>
        <v>1296</v>
      </c>
      <c r="P416" s="278">
        <f t="shared" si="263"/>
        <v>100</v>
      </c>
      <c r="Q416" s="271">
        <f t="shared" si="252"/>
        <v>176256</v>
      </c>
      <c r="R416" s="279" t="s">
        <v>9</v>
      </c>
      <c r="S416" s="273">
        <v>19656</v>
      </c>
      <c r="T416" s="273"/>
      <c r="U416" s="277">
        <f>U415</f>
        <v>16.87</v>
      </c>
      <c r="V416" s="271">
        <f t="shared" si="253"/>
        <v>331596.71999999997</v>
      </c>
      <c r="W416" s="274">
        <f t="shared" si="254"/>
        <v>507852.72</v>
      </c>
      <c r="X416" s="2"/>
      <c r="Y416" s="148" t="s">
        <v>76</v>
      </c>
      <c r="Z416" s="149">
        <f t="shared" si="264"/>
        <v>125</v>
      </c>
      <c r="AA416" s="125">
        <f t="shared" si="265"/>
        <v>1296</v>
      </c>
      <c r="AB416" s="106">
        <f t="shared" si="266"/>
        <v>100</v>
      </c>
      <c r="AC416" s="98">
        <f t="shared" si="255"/>
        <v>137700</v>
      </c>
      <c r="AD416" s="145" t="s">
        <v>9</v>
      </c>
      <c r="AE416" s="146">
        <v>19656</v>
      </c>
      <c r="AF416" s="146"/>
      <c r="AG416" s="125">
        <f>AG415</f>
        <v>16.87</v>
      </c>
      <c r="AH416" s="98">
        <f t="shared" si="256"/>
        <v>331596.71999999997</v>
      </c>
      <c r="AI416" s="147">
        <f t="shared" si="257"/>
        <v>469296.72</v>
      </c>
    </row>
    <row r="417" spans="1:35" ht="30" customHeight="1" x14ac:dyDescent="0.15">
      <c r="A417" s="105" t="s">
        <v>77</v>
      </c>
      <c r="B417" s="108">
        <f t="shared" si="258"/>
        <v>160</v>
      </c>
      <c r="C417" s="109">
        <f t="shared" si="259"/>
        <v>2008.8</v>
      </c>
      <c r="D417" s="114">
        <f t="shared" si="260"/>
        <v>100</v>
      </c>
      <c r="E417" s="79">
        <f t="shared" si="249"/>
        <v>273196.79999999999</v>
      </c>
      <c r="F417" s="80" t="s">
        <v>71</v>
      </c>
      <c r="G417" s="81">
        <v>23154</v>
      </c>
      <c r="H417" s="81"/>
      <c r="I417" s="116">
        <v>12.78</v>
      </c>
      <c r="J417" s="79">
        <f t="shared" si="250"/>
        <v>295908.12</v>
      </c>
      <c r="K417" s="82">
        <f t="shared" si="251"/>
        <v>569104.92000000004</v>
      </c>
      <c r="L417" s="2"/>
      <c r="M417" s="275" t="s">
        <v>77</v>
      </c>
      <c r="N417" s="276">
        <f t="shared" si="261"/>
        <v>160</v>
      </c>
      <c r="O417" s="277">
        <f t="shared" si="262"/>
        <v>1296</v>
      </c>
      <c r="P417" s="278">
        <f t="shared" si="263"/>
        <v>100</v>
      </c>
      <c r="Q417" s="271">
        <f t="shared" si="252"/>
        <v>176256</v>
      </c>
      <c r="R417" s="279" t="s">
        <v>71</v>
      </c>
      <c r="S417" s="273">
        <v>23154</v>
      </c>
      <c r="T417" s="273"/>
      <c r="U417" s="270">
        <v>18.29</v>
      </c>
      <c r="V417" s="271">
        <f t="shared" si="253"/>
        <v>423486.66</v>
      </c>
      <c r="W417" s="274">
        <f t="shared" si="254"/>
        <v>599742.66</v>
      </c>
      <c r="X417" s="2"/>
      <c r="Y417" s="148" t="s">
        <v>77</v>
      </c>
      <c r="Z417" s="149">
        <f t="shared" si="264"/>
        <v>125</v>
      </c>
      <c r="AA417" s="125">
        <f t="shared" si="265"/>
        <v>1296</v>
      </c>
      <c r="AB417" s="106">
        <f t="shared" si="266"/>
        <v>100</v>
      </c>
      <c r="AC417" s="98">
        <f t="shared" si="255"/>
        <v>137700</v>
      </c>
      <c r="AD417" s="145" t="s">
        <v>71</v>
      </c>
      <c r="AE417" s="146">
        <v>23154</v>
      </c>
      <c r="AF417" s="146"/>
      <c r="AG417" s="124">
        <v>18.29</v>
      </c>
      <c r="AH417" s="98">
        <f t="shared" si="256"/>
        <v>423486.66</v>
      </c>
      <c r="AI417" s="147">
        <f t="shared" si="257"/>
        <v>561186.66</v>
      </c>
    </row>
    <row r="418" spans="1:35" ht="30" customHeight="1" x14ac:dyDescent="0.15">
      <c r="A418" s="105" t="s">
        <v>78</v>
      </c>
      <c r="B418" s="108">
        <f t="shared" si="258"/>
        <v>160</v>
      </c>
      <c r="C418" s="109">
        <f t="shared" si="259"/>
        <v>2008.8</v>
      </c>
      <c r="D418" s="114">
        <f t="shared" si="260"/>
        <v>100</v>
      </c>
      <c r="E418" s="79">
        <f t="shared" si="249"/>
        <v>273196.79999999999</v>
      </c>
      <c r="F418" s="80" t="s">
        <v>71</v>
      </c>
      <c r="G418" s="81">
        <v>16614</v>
      </c>
      <c r="H418" s="81"/>
      <c r="I418" s="109">
        <f>I417</f>
        <v>12.78</v>
      </c>
      <c r="J418" s="79">
        <f t="shared" si="250"/>
        <v>212326.92</v>
      </c>
      <c r="K418" s="82">
        <f t="shared" si="251"/>
        <v>485523.72</v>
      </c>
      <c r="L418" s="2"/>
      <c r="M418" s="275" t="s">
        <v>78</v>
      </c>
      <c r="N418" s="276">
        <f t="shared" si="261"/>
        <v>160</v>
      </c>
      <c r="O418" s="277">
        <f t="shared" si="262"/>
        <v>1296</v>
      </c>
      <c r="P418" s="278">
        <f t="shared" si="263"/>
        <v>100</v>
      </c>
      <c r="Q418" s="271">
        <f t="shared" si="252"/>
        <v>176256</v>
      </c>
      <c r="R418" s="279" t="s">
        <v>71</v>
      </c>
      <c r="S418" s="273">
        <v>16614</v>
      </c>
      <c r="T418" s="273"/>
      <c r="U418" s="277">
        <f>U417</f>
        <v>18.29</v>
      </c>
      <c r="V418" s="271">
        <f t="shared" si="253"/>
        <v>303870.06</v>
      </c>
      <c r="W418" s="274">
        <f t="shared" si="254"/>
        <v>480126.06</v>
      </c>
      <c r="X418" s="2"/>
      <c r="Y418" s="148" t="s">
        <v>78</v>
      </c>
      <c r="Z418" s="149">
        <f t="shared" si="264"/>
        <v>125</v>
      </c>
      <c r="AA418" s="125">
        <f t="shared" si="265"/>
        <v>1296</v>
      </c>
      <c r="AB418" s="106">
        <f t="shared" si="266"/>
        <v>100</v>
      </c>
      <c r="AC418" s="98">
        <f t="shared" si="255"/>
        <v>137700</v>
      </c>
      <c r="AD418" s="145" t="s">
        <v>71</v>
      </c>
      <c r="AE418" s="146">
        <v>16614</v>
      </c>
      <c r="AF418" s="146"/>
      <c r="AG418" s="125">
        <f>AG417</f>
        <v>18.29</v>
      </c>
      <c r="AH418" s="98">
        <f t="shared" si="256"/>
        <v>303870.06</v>
      </c>
      <c r="AI418" s="147">
        <f t="shared" si="257"/>
        <v>441570.06</v>
      </c>
    </row>
    <row r="419" spans="1:35" ht="30" customHeight="1" x14ac:dyDescent="0.15">
      <c r="A419" s="105" t="s">
        <v>79</v>
      </c>
      <c r="B419" s="108">
        <f t="shared" si="258"/>
        <v>160</v>
      </c>
      <c r="C419" s="109">
        <f t="shared" si="259"/>
        <v>2008.8</v>
      </c>
      <c r="D419" s="114">
        <f t="shared" si="260"/>
        <v>100</v>
      </c>
      <c r="E419" s="79">
        <f t="shared" si="249"/>
        <v>273196.79999999999</v>
      </c>
      <c r="F419" s="80" t="s">
        <v>71</v>
      </c>
      <c r="G419" s="81">
        <v>20100</v>
      </c>
      <c r="H419" s="81"/>
      <c r="I419" s="109">
        <f>I418</f>
        <v>12.78</v>
      </c>
      <c r="J419" s="79">
        <f t="shared" si="250"/>
        <v>256878</v>
      </c>
      <c r="K419" s="82">
        <f t="shared" si="251"/>
        <v>530074.80000000005</v>
      </c>
      <c r="L419" s="2"/>
      <c r="M419" s="275" t="s">
        <v>79</v>
      </c>
      <c r="N419" s="276">
        <f t="shared" si="261"/>
        <v>160</v>
      </c>
      <c r="O419" s="277">
        <f t="shared" si="262"/>
        <v>1296</v>
      </c>
      <c r="P419" s="278">
        <f t="shared" si="263"/>
        <v>100</v>
      </c>
      <c r="Q419" s="271">
        <f t="shared" si="252"/>
        <v>176256</v>
      </c>
      <c r="R419" s="279" t="s">
        <v>71</v>
      </c>
      <c r="S419" s="273">
        <v>20100</v>
      </c>
      <c r="T419" s="273"/>
      <c r="U419" s="277">
        <f>U418</f>
        <v>18.29</v>
      </c>
      <c r="V419" s="271">
        <f t="shared" si="253"/>
        <v>367629</v>
      </c>
      <c r="W419" s="274">
        <f t="shared" si="254"/>
        <v>543885</v>
      </c>
      <c r="X419" s="2"/>
      <c r="Y419" s="148" t="s">
        <v>79</v>
      </c>
      <c r="Z419" s="149">
        <f t="shared" si="264"/>
        <v>125</v>
      </c>
      <c r="AA419" s="125">
        <f t="shared" si="265"/>
        <v>1296</v>
      </c>
      <c r="AB419" s="106">
        <f t="shared" si="266"/>
        <v>100</v>
      </c>
      <c r="AC419" s="98">
        <f t="shared" si="255"/>
        <v>137700</v>
      </c>
      <c r="AD419" s="145" t="s">
        <v>71</v>
      </c>
      <c r="AE419" s="146">
        <v>20100</v>
      </c>
      <c r="AF419" s="146"/>
      <c r="AG419" s="125">
        <f>AG418</f>
        <v>18.29</v>
      </c>
      <c r="AH419" s="98">
        <f t="shared" si="256"/>
        <v>367629</v>
      </c>
      <c r="AI419" s="147">
        <f t="shared" si="257"/>
        <v>505329</v>
      </c>
    </row>
    <row r="420" spans="1:35" ht="30" customHeight="1" x14ac:dyDescent="0.15">
      <c r="A420" s="105" t="s">
        <v>80</v>
      </c>
      <c r="B420" s="108">
        <f t="shared" si="258"/>
        <v>160</v>
      </c>
      <c r="C420" s="109">
        <f t="shared" si="259"/>
        <v>2008.8</v>
      </c>
      <c r="D420" s="114">
        <f t="shared" si="260"/>
        <v>100</v>
      </c>
      <c r="E420" s="79">
        <f t="shared" si="249"/>
        <v>273196.79999999999</v>
      </c>
      <c r="F420" s="80" t="s">
        <v>9</v>
      </c>
      <c r="G420" s="81">
        <v>17232</v>
      </c>
      <c r="H420" s="81"/>
      <c r="I420" s="109">
        <f>I411</f>
        <v>11.87</v>
      </c>
      <c r="J420" s="79">
        <f t="shared" si="250"/>
        <v>204543.84</v>
      </c>
      <c r="K420" s="82">
        <f t="shared" si="251"/>
        <v>477740.64</v>
      </c>
      <c r="L420" s="2"/>
      <c r="M420" s="275" t="s">
        <v>80</v>
      </c>
      <c r="N420" s="276">
        <f t="shared" si="261"/>
        <v>160</v>
      </c>
      <c r="O420" s="277">
        <f t="shared" si="262"/>
        <v>1296</v>
      </c>
      <c r="P420" s="278">
        <f t="shared" si="263"/>
        <v>100</v>
      </c>
      <c r="Q420" s="271">
        <f t="shared" si="252"/>
        <v>176256</v>
      </c>
      <c r="R420" s="279" t="s">
        <v>9</v>
      </c>
      <c r="S420" s="273">
        <v>17232</v>
      </c>
      <c r="T420" s="273"/>
      <c r="U420" s="277">
        <f>U411</f>
        <v>16.87</v>
      </c>
      <c r="V420" s="271">
        <f t="shared" si="253"/>
        <v>290703.84000000003</v>
      </c>
      <c r="W420" s="274">
        <f t="shared" si="254"/>
        <v>466959.84</v>
      </c>
      <c r="X420" s="2"/>
      <c r="Y420" s="148" t="s">
        <v>80</v>
      </c>
      <c r="Z420" s="149">
        <f t="shared" si="264"/>
        <v>125</v>
      </c>
      <c r="AA420" s="125">
        <f t="shared" si="265"/>
        <v>1296</v>
      </c>
      <c r="AB420" s="106">
        <f t="shared" si="266"/>
        <v>100</v>
      </c>
      <c r="AC420" s="98">
        <f t="shared" si="255"/>
        <v>137700</v>
      </c>
      <c r="AD420" s="145" t="s">
        <v>9</v>
      </c>
      <c r="AE420" s="146">
        <v>17232</v>
      </c>
      <c r="AF420" s="146"/>
      <c r="AG420" s="125">
        <f>AG411</f>
        <v>16.87</v>
      </c>
      <c r="AH420" s="98">
        <f t="shared" si="256"/>
        <v>290703.84000000003</v>
      </c>
      <c r="AI420" s="147">
        <f t="shared" si="257"/>
        <v>428403.84</v>
      </c>
    </row>
    <row r="421" spans="1:35" ht="30" customHeight="1" x14ac:dyDescent="0.15">
      <c r="A421" s="105" t="s">
        <v>81</v>
      </c>
      <c r="B421" s="108">
        <f t="shared" si="258"/>
        <v>160</v>
      </c>
      <c r="C421" s="109">
        <f t="shared" si="259"/>
        <v>2008.8</v>
      </c>
      <c r="D421" s="114">
        <f t="shared" si="260"/>
        <v>100</v>
      </c>
      <c r="E421" s="79">
        <f t="shared" si="249"/>
        <v>273196.79999999999</v>
      </c>
      <c r="F421" s="80" t="s">
        <v>9</v>
      </c>
      <c r="G421" s="81">
        <v>15834</v>
      </c>
      <c r="H421" s="81"/>
      <c r="I421" s="118">
        <f>I420</f>
        <v>11.87</v>
      </c>
      <c r="J421" s="79">
        <f t="shared" si="250"/>
        <v>187949.58</v>
      </c>
      <c r="K421" s="82">
        <f t="shared" si="251"/>
        <v>461146.38</v>
      </c>
      <c r="L421" s="2"/>
      <c r="M421" s="275" t="s">
        <v>81</v>
      </c>
      <c r="N421" s="276">
        <f t="shared" si="261"/>
        <v>160</v>
      </c>
      <c r="O421" s="277">
        <f t="shared" si="262"/>
        <v>1296</v>
      </c>
      <c r="P421" s="278">
        <f t="shared" si="263"/>
        <v>100</v>
      </c>
      <c r="Q421" s="271">
        <f t="shared" si="252"/>
        <v>176256</v>
      </c>
      <c r="R421" s="279" t="s">
        <v>9</v>
      </c>
      <c r="S421" s="273">
        <v>15834</v>
      </c>
      <c r="T421" s="273"/>
      <c r="U421" s="280">
        <f>U420</f>
        <v>16.87</v>
      </c>
      <c r="V421" s="271">
        <f t="shared" si="253"/>
        <v>267119.58</v>
      </c>
      <c r="W421" s="274">
        <f t="shared" si="254"/>
        <v>443375.58</v>
      </c>
      <c r="X421" s="2"/>
      <c r="Y421" s="148" t="s">
        <v>81</v>
      </c>
      <c r="Z421" s="149">
        <f t="shared" si="264"/>
        <v>125</v>
      </c>
      <c r="AA421" s="125">
        <f t="shared" si="265"/>
        <v>1296</v>
      </c>
      <c r="AB421" s="106">
        <f t="shared" si="266"/>
        <v>100</v>
      </c>
      <c r="AC421" s="98">
        <f t="shared" si="255"/>
        <v>137700</v>
      </c>
      <c r="AD421" s="145" t="s">
        <v>9</v>
      </c>
      <c r="AE421" s="146">
        <v>15834</v>
      </c>
      <c r="AF421" s="146"/>
      <c r="AG421" s="127">
        <f>AG420</f>
        <v>16.87</v>
      </c>
      <c r="AH421" s="98">
        <f t="shared" si="256"/>
        <v>267119.58</v>
      </c>
      <c r="AI421" s="147">
        <f t="shared" si="257"/>
        <v>404819.58</v>
      </c>
    </row>
    <row r="422" spans="1:35" ht="30" customHeight="1" thickBot="1" x14ac:dyDescent="0.2">
      <c r="A422" s="84" t="s">
        <v>82</v>
      </c>
      <c r="B422" s="110">
        <f t="shared" si="258"/>
        <v>160</v>
      </c>
      <c r="C422" s="111">
        <f t="shared" si="259"/>
        <v>2008.8</v>
      </c>
      <c r="D422" s="115">
        <f t="shared" si="260"/>
        <v>100</v>
      </c>
      <c r="E422" s="85">
        <f t="shared" si="249"/>
        <v>273196.79999999999</v>
      </c>
      <c r="F422" s="86" t="s">
        <v>9</v>
      </c>
      <c r="G422" s="87">
        <v>18138</v>
      </c>
      <c r="H422" s="87"/>
      <c r="I422" s="111">
        <f>I421</f>
        <v>11.87</v>
      </c>
      <c r="J422" s="85">
        <f t="shared" si="250"/>
        <v>215298.06</v>
      </c>
      <c r="K422" s="88">
        <f t="shared" si="251"/>
        <v>488494.86</v>
      </c>
      <c r="L422" s="2"/>
      <c r="M422" s="281" t="s">
        <v>82</v>
      </c>
      <c r="N422" s="282">
        <f t="shared" si="261"/>
        <v>160</v>
      </c>
      <c r="O422" s="283">
        <f t="shared" si="262"/>
        <v>1296</v>
      </c>
      <c r="P422" s="282">
        <f t="shared" si="263"/>
        <v>100</v>
      </c>
      <c r="Q422" s="284">
        <f t="shared" si="252"/>
        <v>176256</v>
      </c>
      <c r="R422" s="285" t="s">
        <v>9</v>
      </c>
      <c r="S422" s="286">
        <v>18138</v>
      </c>
      <c r="T422" s="286"/>
      <c r="U422" s="283">
        <f>U421</f>
        <v>16.87</v>
      </c>
      <c r="V422" s="284">
        <f t="shared" si="253"/>
        <v>305988.06</v>
      </c>
      <c r="W422" s="287">
        <f t="shared" si="254"/>
        <v>482244.06</v>
      </c>
      <c r="X422" s="2"/>
      <c r="Y422" s="150" t="s">
        <v>82</v>
      </c>
      <c r="Z422" s="151">
        <f t="shared" si="264"/>
        <v>125</v>
      </c>
      <c r="AA422" s="126">
        <f t="shared" si="265"/>
        <v>1296</v>
      </c>
      <c r="AB422" s="152">
        <f t="shared" si="266"/>
        <v>100</v>
      </c>
      <c r="AC422" s="99">
        <f t="shared" si="255"/>
        <v>137700</v>
      </c>
      <c r="AD422" s="153" t="s">
        <v>9</v>
      </c>
      <c r="AE422" s="154">
        <v>18138</v>
      </c>
      <c r="AF422" s="154"/>
      <c r="AG422" s="126">
        <f>AG421</f>
        <v>16.87</v>
      </c>
      <c r="AH422" s="99">
        <f t="shared" si="256"/>
        <v>305988.06</v>
      </c>
      <c r="AI422" s="155">
        <f t="shared" si="257"/>
        <v>443688.06</v>
      </c>
    </row>
    <row r="423" spans="1:35" ht="30" customHeight="1" thickBot="1" x14ac:dyDescent="0.2">
      <c r="A423" s="90" t="s">
        <v>41</v>
      </c>
      <c r="B423" s="91"/>
      <c r="C423" s="91"/>
      <c r="D423" s="91"/>
      <c r="E423" s="92">
        <f>SUM(E411:E422)</f>
        <v>3278361.5999999992</v>
      </c>
      <c r="F423" s="93"/>
      <c r="G423" s="94">
        <f>SUM(G411:G422)</f>
        <v>218046</v>
      </c>
      <c r="H423" s="94"/>
      <c r="I423" s="91"/>
      <c r="J423" s="92">
        <f>SUM(J411:J422)</f>
        <v>2642685.9</v>
      </c>
      <c r="K423" s="95">
        <f>SUM(K411:K422)</f>
        <v>5921047.4999999991</v>
      </c>
      <c r="L423" s="89" t="s">
        <v>113</v>
      </c>
      <c r="M423" s="288" t="s">
        <v>41</v>
      </c>
      <c r="N423" s="289"/>
      <c r="O423" s="289"/>
      <c r="P423" s="289"/>
      <c r="Q423" s="290">
        <f>SUM(Q411:Q422)</f>
        <v>2115072</v>
      </c>
      <c r="R423" s="291"/>
      <c r="S423" s="292">
        <f>SUM(S411:S422)</f>
        <v>218046</v>
      </c>
      <c r="T423" s="292"/>
      <c r="U423" s="289"/>
      <c r="V423" s="290">
        <f>SUM(V411:V422)</f>
        <v>3763448.58</v>
      </c>
      <c r="W423" s="293">
        <f>SUM(W411:W422)</f>
        <v>5878520.5799999991</v>
      </c>
      <c r="X423" s="89" t="s">
        <v>113</v>
      </c>
      <c r="Y423" s="164" t="s">
        <v>41</v>
      </c>
      <c r="Z423" s="157"/>
      <c r="AA423" s="157"/>
      <c r="AB423" s="157"/>
      <c r="AC423" s="158">
        <f>SUM(AC411:AC422)</f>
        <v>1652400</v>
      </c>
      <c r="AD423" s="159"/>
      <c r="AE423" s="160">
        <f>SUM(AE411:AE422)</f>
        <v>218046</v>
      </c>
      <c r="AF423" s="160"/>
      <c r="AG423" s="157"/>
      <c r="AH423" s="158">
        <f>SUM(AH411:AH422)</f>
        <v>3763448.58</v>
      </c>
      <c r="AI423" s="161">
        <f>SUM(AI411:AI422)</f>
        <v>5415848.5800000001</v>
      </c>
    </row>
    <row r="424" spans="1:35" ht="15" customHeight="1" x14ac:dyDescent="0.15">
      <c r="B424" s="4"/>
      <c r="C424" s="4"/>
      <c r="D424" s="4"/>
      <c r="E424" s="4"/>
      <c r="F424" s="4"/>
      <c r="G424" s="4"/>
      <c r="H424" s="4"/>
      <c r="I424" s="4"/>
      <c r="J424" s="4"/>
      <c r="K424" s="4"/>
      <c r="L424" s="89"/>
      <c r="M424" s="258"/>
      <c r="N424" s="294"/>
      <c r="O424" s="294"/>
      <c r="P424" s="294"/>
      <c r="Q424" s="294"/>
      <c r="R424" s="294"/>
      <c r="S424" s="294"/>
      <c r="T424" s="294"/>
      <c r="U424" s="294"/>
      <c r="V424" s="294"/>
      <c r="W424" s="294"/>
      <c r="X424" s="89"/>
      <c r="Z424" s="162"/>
      <c r="AA424" s="162"/>
      <c r="AB424" s="162"/>
      <c r="AC424" s="162"/>
      <c r="AD424" s="162"/>
      <c r="AE424" s="162"/>
      <c r="AF424" s="162"/>
      <c r="AG424" s="162"/>
      <c r="AH424" s="162"/>
      <c r="AI424" s="162"/>
    </row>
    <row r="425" spans="1:35" x14ac:dyDescent="0.15">
      <c r="A425" s="211" t="s">
        <v>153</v>
      </c>
      <c r="B425" s="212">
        <f>B400+1</f>
        <v>16</v>
      </c>
      <c r="C425" s="213"/>
      <c r="D425" s="213"/>
      <c r="E425" s="213"/>
      <c r="F425" s="213"/>
      <c r="G425" s="213"/>
      <c r="H425" s="213"/>
      <c r="I425" s="213"/>
      <c r="J425" s="213"/>
      <c r="K425" s="692" t="str">
        <f>IF(K460-W460&lt;=0,"現状のまま","メニュー変更")</f>
        <v>現状のまま</v>
      </c>
      <c r="L425" s="2"/>
      <c r="M425" s="47" t="s">
        <v>153</v>
      </c>
      <c r="N425" s="62">
        <f>N400+1</f>
        <v>16</v>
      </c>
      <c r="X425" s="2"/>
      <c r="Y425" s="47" t="s">
        <v>153</v>
      </c>
      <c r="Z425" s="62" t="e">
        <f>Z400+1</f>
        <v>#REF!</v>
      </c>
    </row>
    <row r="426" spans="1:35" x14ac:dyDescent="0.15">
      <c r="A426" s="214"/>
      <c r="B426" s="213"/>
      <c r="C426" s="213"/>
      <c r="D426" s="213"/>
      <c r="E426" s="213"/>
      <c r="F426" s="213"/>
      <c r="G426" s="213"/>
      <c r="H426" s="213"/>
      <c r="I426" s="213"/>
      <c r="J426" s="213"/>
      <c r="K426" s="692"/>
      <c r="L426" s="2"/>
      <c r="X426" s="2"/>
    </row>
    <row r="427" spans="1:35" x14ac:dyDescent="0.15">
      <c r="A427" s="214"/>
      <c r="B427" s="213"/>
      <c r="C427" s="213"/>
      <c r="D427" s="213"/>
      <c r="E427" s="213"/>
      <c r="F427" s="213"/>
      <c r="G427" s="213"/>
      <c r="H427" s="213"/>
      <c r="I427" s="213"/>
      <c r="J427" s="213"/>
      <c r="K427" s="692"/>
      <c r="L427" s="2"/>
      <c r="X427" s="2"/>
    </row>
    <row r="428" spans="1:35" ht="17.25" x14ac:dyDescent="0.15">
      <c r="A428" s="694" t="str">
        <f>$A$5</f>
        <v>平成29年度小郡市役所庁舎外25施設電力需給</v>
      </c>
      <c r="B428" s="694"/>
      <c r="C428" s="694"/>
      <c r="D428" s="694"/>
      <c r="E428" s="694"/>
      <c r="F428" s="694"/>
      <c r="G428" s="694"/>
      <c r="H428" s="694"/>
      <c r="I428" s="694"/>
      <c r="J428" s="694"/>
      <c r="K428" s="694"/>
      <c r="L428" s="2"/>
      <c r="M428" s="553" t="str">
        <f>$A$5</f>
        <v>平成29年度小郡市役所庁舎外25施設電力需給</v>
      </c>
      <c r="N428" s="553"/>
      <c r="O428" s="553"/>
      <c r="P428" s="553"/>
      <c r="Q428" s="553"/>
      <c r="R428" s="553"/>
      <c r="S428" s="553"/>
      <c r="T428" s="553"/>
      <c r="U428" s="553"/>
      <c r="V428" s="553"/>
      <c r="W428" s="553"/>
      <c r="X428" s="2"/>
      <c r="Y428" s="553" t="str">
        <f>$A$5</f>
        <v>平成29年度小郡市役所庁舎外25施設電力需給</v>
      </c>
      <c r="Z428" s="553"/>
      <c r="AA428" s="553"/>
      <c r="AB428" s="553"/>
      <c r="AC428" s="553"/>
      <c r="AD428" s="553"/>
      <c r="AE428" s="553"/>
      <c r="AF428" s="553"/>
      <c r="AG428" s="553"/>
      <c r="AH428" s="553"/>
      <c r="AI428" s="553"/>
    </row>
    <row r="429" spans="1:35" x14ac:dyDescent="0.15">
      <c r="A429" s="689" t="str">
        <f>$A$6</f>
        <v>（平成３０年１月～平成３０年１２月期間中の予定金額）</v>
      </c>
      <c r="B429" s="689"/>
      <c r="C429" s="689"/>
      <c r="D429" s="689"/>
      <c r="E429" s="689"/>
      <c r="F429" s="689"/>
      <c r="G429" s="689"/>
      <c r="H429" s="689"/>
      <c r="I429" s="689"/>
      <c r="J429" s="689"/>
      <c r="K429" s="689"/>
      <c r="L429" s="2"/>
      <c r="M429" s="555" t="str">
        <f>$A$6</f>
        <v>（平成３０年１月～平成３０年１２月期間中の予定金額）</v>
      </c>
      <c r="N429" s="555"/>
      <c r="O429" s="555"/>
      <c r="P429" s="555"/>
      <c r="Q429" s="555"/>
      <c r="R429" s="555"/>
      <c r="S429" s="555"/>
      <c r="T429" s="555"/>
      <c r="U429" s="555"/>
      <c r="V429" s="555"/>
      <c r="W429" s="555"/>
      <c r="X429" s="2"/>
      <c r="Y429" s="555" t="str">
        <f>$A$6</f>
        <v>（平成３０年１月～平成３０年１２月期間中の予定金額）</v>
      </c>
      <c r="Z429" s="555"/>
      <c r="AA429" s="555"/>
      <c r="AB429" s="555"/>
      <c r="AC429" s="555"/>
      <c r="AD429" s="555"/>
      <c r="AE429" s="555"/>
      <c r="AF429" s="555"/>
      <c r="AG429" s="555"/>
      <c r="AH429" s="555"/>
      <c r="AI429" s="555"/>
    </row>
    <row r="430" spans="1:35" ht="14.25" thickBot="1" x14ac:dyDescent="0.2">
      <c r="A430" s="215" t="s">
        <v>132</v>
      </c>
      <c r="B430" s="215"/>
      <c r="C430" s="215"/>
      <c r="D430" s="213"/>
      <c r="E430" s="213"/>
      <c r="F430" s="213"/>
      <c r="G430" s="213"/>
      <c r="H430" s="213"/>
      <c r="I430" s="213"/>
      <c r="J430" s="213"/>
      <c r="K430" s="211" t="s">
        <v>140</v>
      </c>
      <c r="L430" s="2"/>
      <c r="M430" s="134" t="s">
        <v>132</v>
      </c>
      <c r="N430" s="134"/>
      <c r="O430" s="134"/>
      <c r="W430" s="47" t="s">
        <v>141</v>
      </c>
      <c r="X430" s="2"/>
      <c r="Y430" s="134" t="s">
        <v>132</v>
      </c>
      <c r="Z430" s="134"/>
      <c r="AA430" s="134"/>
      <c r="AI430" s="47" t="s">
        <v>141</v>
      </c>
    </row>
    <row r="431" spans="1:35" ht="18" customHeight="1" thickBot="1" x14ac:dyDescent="0.2">
      <c r="A431" s="695" t="s">
        <v>33</v>
      </c>
      <c r="B431" s="683" t="s">
        <v>24</v>
      </c>
      <c r="C431" s="684"/>
      <c r="D431" s="684"/>
      <c r="E431" s="685"/>
      <c r="F431" s="686" t="s">
        <v>34</v>
      </c>
      <c r="G431" s="687"/>
      <c r="H431" s="687"/>
      <c r="I431" s="687"/>
      <c r="J431" s="688"/>
      <c r="K431" s="667" t="s">
        <v>35</v>
      </c>
      <c r="L431" s="2"/>
      <c r="M431" s="567" t="s">
        <v>33</v>
      </c>
      <c r="N431" s="570" t="s">
        <v>24</v>
      </c>
      <c r="O431" s="571"/>
      <c r="P431" s="571"/>
      <c r="Q431" s="572"/>
      <c r="R431" s="573" t="s">
        <v>34</v>
      </c>
      <c r="S431" s="574"/>
      <c r="T431" s="574"/>
      <c r="U431" s="574"/>
      <c r="V431" s="575"/>
      <c r="W431" s="544" t="s">
        <v>35</v>
      </c>
      <c r="X431" s="2"/>
      <c r="Y431" s="567" t="s">
        <v>33</v>
      </c>
      <c r="Z431" s="570" t="s">
        <v>24</v>
      </c>
      <c r="AA431" s="571"/>
      <c r="AB431" s="571"/>
      <c r="AC431" s="572"/>
      <c r="AD431" s="573" t="s">
        <v>34</v>
      </c>
      <c r="AE431" s="574"/>
      <c r="AF431" s="574"/>
      <c r="AG431" s="574"/>
      <c r="AH431" s="575"/>
      <c r="AI431" s="544" t="s">
        <v>35</v>
      </c>
    </row>
    <row r="432" spans="1:35" ht="13.5" customHeight="1" x14ac:dyDescent="0.15">
      <c r="A432" s="696"/>
      <c r="B432" s="669" t="s">
        <v>28</v>
      </c>
      <c r="C432" s="667" t="s">
        <v>29</v>
      </c>
      <c r="D432" s="669" t="s">
        <v>25</v>
      </c>
      <c r="E432" s="678" t="s">
        <v>31</v>
      </c>
      <c r="F432" s="679" t="s">
        <v>36</v>
      </c>
      <c r="G432" s="680"/>
      <c r="H432" s="216"/>
      <c r="I432" s="667" t="s">
        <v>37</v>
      </c>
      <c r="J432" s="669" t="s">
        <v>38</v>
      </c>
      <c r="K432" s="668"/>
      <c r="L432" s="2"/>
      <c r="M432" s="568"/>
      <c r="N432" s="546" t="s">
        <v>28</v>
      </c>
      <c r="O432" s="544" t="s">
        <v>29</v>
      </c>
      <c r="P432" s="546" t="s">
        <v>25</v>
      </c>
      <c r="Q432" s="582" t="s">
        <v>31</v>
      </c>
      <c r="R432" s="540" t="s">
        <v>36</v>
      </c>
      <c r="S432" s="541"/>
      <c r="T432" s="135"/>
      <c r="U432" s="544" t="s">
        <v>37</v>
      </c>
      <c r="V432" s="546" t="s">
        <v>38</v>
      </c>
      <c r="W432" s="545"/>
      <c r="X432" s="2"/>
      <c r="Y432" s="568"/>
      <c r="Z432" s="546" t="s">
        <v>28</v>
      </c>
      <c r="AA432" s="544" t="s">
        <v>29</v>
      </c>
      <c r="AB432" s="546" t="s">
        <v>25</v>
      </c>
      <c r="AC432" s="582" t="s">
        <v>31</v>
      </c>
      <c r="AD432" s="540" t="s">
        <v>36</v>
      </c>
      <c r="AE432" s="541"/>
      <c r="AF432" s="135"/>
      <c r="AG432" s="544" t="s">
        <v>37</v>
      </c>
      <c r="AH432" s="546" t="s">
        <v>38</v>
      </c>
      <c r="AI432" s="545"/>
    </row>
    <row r="433" spans="1:35" x14ac:dyDescent="0.15">
      <c r="A433" s="696"/>
      <c r="B433" s="669"/>
      <c r="C433" s="668"/>
      <c r="D433" s="669"/>
      <c r="E433" s="669"/>
      <c r="F433" s="681"/>
      <c r="G433" s="682"/>
      <c r="H433" s="217"/>
      <c r="I433" s="668"/>
      <c r="J433" s="669"/>
      <c r="K433" s="668"/>
      <c r="L433" s="2"/>
      <c r="M433" s="568"/>
      <c r="N433" s="546"/>
      <c r="O433" s="545"/>
      <c r="P433" s="546"/>
      <c r="Q433" s="546"/>
      <c r="R433" s="542"/>
      <c r="S433" s="543"/>
      <c r="T433" s="136"/>
      <c r="U433" s="545"/>
      <c r="V433" s="546"/>
      <c r="W433" s="545"/>
      <c r="X433" s="2"/>
      <c r="Y433" s="568"/>
      <c r="Z433" s="546"/>
      <c r="AA433" s="545"/>
      <c r="AB433" s="546"/>
      <c r="AC433" s="546"/>
      <c r="AD433" s="542"/>
      <c r="AE433" s="543"/>
      <c r="AF433" s="136"/>
      <c r="AG433" s="545"/>
      <c r="AH433" s="546"/>
      <c r="AI433" s="545"/>
    </row>
    <row r="434" spans="1:35" ht="23.25" customHeight="1" x14ac:dyDescent="0.15">
      <c r="A434" s="696"/>
      <c r="B434" s="218" t="s">
        <v>13</v>
      </c>
      <c r="C434" s="219" t="s">
        <v>30</v>
      </c>
      <c r="D434" s="218" t="s">
        <v>14</v>
      </c>
      <c r="E434" s="218" t="s">
        <v>40</v>
      </c>
      <c r="F434" s="665" t="s">
        <v>15</v>
      </c>
      <c r="G434" s="666"/>
      <c r="H434" s="220"/>
      <c r="I434" s="219" t="s">
        <v>30</v>
      </c>
      <c r="J434" s="218" t="s">
        <v>40</v>
      </c>
      <c r="K434" s="218" t="s">
        <v>40</v>
      </c>
      <c r="L434" s="2"/>
      <c r="M434" s="568"/>
      <c r="N434" s="137" t="s">
        <v>152</v>
      </c>
      <c r="O434" s="138" t="s">
        <v>30</v>
      </c>
      <c r="P434" s="137" t="s">
        <v>14</v>
      </c>
      <c r="Q434" s="137" t="s">
        <v>40</v>
      </c>
      <c r="R434" s="549" t="s">
        <v>15</v>
      </c>
      <c r="S434" s="550"/>
      <c r="T434" s="139"/>
      <c r="U434" s="138" t="s">
        <v>30</v>
      </c>
      <c r="V434" s="137" t="s">
        <v>40</v>
      </c>
      <c r="W434" s="137" t="s">
        <v>40</v>
      </c>
      <c r="X434" s="2"/>
      <c r="Y434" s="568"/>
      <c r="Z434" s="137" t="s">
        <v>152</v>
      </c>
      <c r="AA434" s="138" t="s">
        <v>30</v>
      </c>
      <c r="AB434" s="137" t="s">
        <v>14</v>
      </c>
      <c r="AC434" s="137" t="s">
        <v>40</v>
      </c>
      <c r="AD434" s="549" t="s">
        <v>15</v>
      </c>
      <c r="AE434" s="550"/>
      <c r="AF434" s="139"/>
      <c r="AG434" s="138" t="s">
        <v>30</v>
      </c>
      <c r="AH434" s="137" t="s">
        <v>40</v>
      </c>
      <c r="AI434" s="137" t="s">
        <v>40</v>
      </c>
    </row>
    <row r="435" spans="1:35" ht="15.75" customHeight="1" thickBot="1" x14ac:dyDescent="0.2">
      <c r="A435" s="697"/>
      <c r="B435" s="221" t="s">
        <v>16</v>
      </c>
      <c r="C435" s="221" t="s">
        <v>17</v>
      </c>
      <c r="D435" s="221" t="s">
        <v>18</v>
      </c>
      <c r="E435" s="221" t="s">
        <v>19</v>
      </c>
      <c r="F435" s="222"/>
      <c r="G435" s="223" t="s">
        <v>20</v>
      </c>
      <c r="H435" s="223"/>
      <c r="I435" s="221" t="s">
        <v>21</v>
      </c>
      <c r="J435" s="221" t="s">
        <v>22</v>
      </c>
      <c r="K435" s="223" t="s">
        <v>23</v>
      </c>
      <c r="L435" s="2"/>
      <c r="M435" s="569"/>
      <c r="N435" s="122" t="s">
        <v>16</v>
      </c>
      <c r="O435" s="122" t="s">
        <v>17</v>
      </c>
      <c r="P435" s="122" t="s">
        <v>18</v>
      </c>
      <c r="Q435" s="122" t="s">
        <v>19</v>
      </c>
      <c r="R435" s="140"/>
      <c r="S435" s="141" t="s">
        <v>20</v>
      </c>
      <c r="T435" s="141"/>
      <c r="U435" s="122" t="s">
        <v>21</v>
      </c>
      <c r="V435" s="122" t="s">
        <v>22</v>
      </c>
      <c r="W435" s="141" t="s">
        <v>23</v>
      </c>
      <c r="X435" s="2"/>
      <c r="Y435" s="569"/>
      <c r="Z435" s="122" t="s">
        <v>16</v>
      </c>
      <c r="AA435" s="122" t="s">
        <v>17</v>
      </c>
      <c r="AB435" s="122" t="s">
        <v>18</v>
      </c>
      <c r="AC435" s="122" t="s">
        <v>19</v>
      </c>
      <c r="AD435" s="140"/>
      <c r="AE435" s="141" t="s">
        <v>20</v>
      </c>
      <c r="AF435" s="141"/>
      <c r="AG435" s="122" t="s">
        <v>21</v>
      </c>
      <c r="AH435" s="122" t="s">
        <v>22</v>
      </c>
      <c r="AI435" s="141" t="s">
        <v>23</v>
      </c>
    </row>
    <row r="436" spans="1:35" ht="19.5" customHeight="1" x14ac:dyDescent="0.15">
      <c r="A436" s="788" t="s">
        <v>83</v>
      </c>
      <c r="B436" s="790">
        <v>215</v>
      </c>
      <c r="C436" s="797">
        <v>2008.8</v>
      </c>
      <c r="D436" s="790">
        <v>100</v>
      </c>
      <c r="E436" s="799">
        <f>ROUNDDOWN(B436*C436*((185-D436)/100),2)</f>
        <v>367108.2</v>
      </c>
      <c r="F436" s="308" t="s">
        <v>108</v>
      </c>
      <c r="G436" s="295">
        <f>ROUNDDOWN(H436*0.7,0)</f>
        <v>23088</v>
      </c>
      <c r="H436" s="309">
        <v>32984</v>
      </c>
      <c r="I436" s="296">
        <v>12.88</v>
      </c>
      <c r="J436" s="297">
        <f t="shared" ref="J436:J459" si="267">ROUNDDOWN(G436*I436,2)</f>
        <v>297373.44</v>
      </c>
      <c r="K436" s="786">
        <f>ROUNDDOWN(J436+E436+J437,2)</f>
        <v>758097.8</v>
      </c>
      <c r="L436" s="2"/>
      <c r="M436" s="616" t="s">
        <v>83</v>
      </c>
      <c r="N436" s="603">
        <v>215</v>
      </c>
      <c r="O436" s="605">
        <v>1296</v>
      </c>
      <c r="P436" s="607">
        <v>100</v>
      </c>
      <c r="Q436" s="609">
        <f>ROUNDDOWN(N436*O436*((185-P436)/100),2)</f>
        <v>236844</v>
      </c>
      <c r="R436" s="196" t="s">
        <v>108</v>
      </c>
      <c r="S436" s="169">
        <f>ROUNDDOWN(T436*0.7,0)</f>
        <v>23088</v>
      </c>
      <c r="T436" s="197">
        <v>32984</v>
      </c>
      <c r="U436" s="128">
        <f>18.96+0.06</f>
        <v>19.02</v>
      </c>
      <c r="V436" s="100">
        <f t="shared" ref="V436:V459" si="268">ROUNDDOWN(S436*U436,2)</f>
        <v>439133.76</v>
      </c>
      <c r="W436" s="593">
        <f>ROUNDDOWN(V436+Q436+V437,2)</f>
        <v>792255.76</v>
      </c>
      <c r="X436" s="2"/>
      <c r="Y436" s="616" t="s">
        <v>83</v>
      </c>
      <c r="Z436" s="603">
        <v>215</v>
      </c>
      <c r="AA436" s="605">
        <v>1296</v>
      </c>
      <c r="AB436" s="607">
        <v>100</v>
      </c>
      <c r="AC436" s="609">
        <f>ROUNDDOWN(Z436*AA436*((185-AB436)/100),2)</f>
        <v>236844</v>
      </c>
      <c r="AD436" s="196" t="s">
        <v>108</v>
      </c>
      <c r="AE436" s="169">
        <f>ROUNDDOWN(AF436*0.7,0)</f>
        <v>23088</v>
      </c>
      <c r="AF436" s="197">
        <v>32984</v>
      </c>
      <c r="AG436" s="128">
        <f>18.96+0.06</f>
        <v>19.02</v>
      </c>
      <c r="AH436" s="100">
        <f t="shared" ref="AH436:AH459" si="269">ROUNDDOWN(AE436*AG436,2)</f>
        <v>439133.76</v>
      </c>
      <c r="AI436" s="593">
        <f>ROUNDDOWN(AH436+AC436+AH437,2)</f>
        <v>792255.76</v>
      </c>
    </row>
    <row r="437" spans="1:35" ht="19.5" customHeight="1" x14ac:dyDescent="0.15">
      <c r="A437" s="789"/>
      <c r="B437" s="791"/>
      <c r="C437" s="798"/>
      <c r="D437" s="791"/>
      <c r="E437" s="787"/>
      <c r="F437" s="310" t="s">
        <v>109</v>
      </c>
      <c r="G437" s="311">
        <f>H436-G436</f>
        <v>9896</v>
      </c>
      <c r="H437" s="312"/>
      <c r="I437" s="299">
        <v>9.4600000000000009</v>
      </c>
      <c r="J437" s="300">
        <f t="shared" si="267"/>
        <v>93616.16</v>
      </c>
      <c r="K437" s="787"/>
      <c r="L437" s="2"/>
      <c r="M437" s="601"/>
      <c r="N437" s="604"/>
      <c r="O437" s="606"/>
      <c r="P437" s="608"/>
      <c r="Q437" s="599"/>
      <c r="R437" s="198" t="s">
        <v>109</v>
      </c>
      <c r="S437" s="199">
        <f>T436-S436</f>
        <v>9896</v>
      </c>
      <c r="T437" s="200"/>
      <c r="U437" s="129">
        <f>11.69+0.06</f>
        <v>11.75</v>
      </c>
      <c r="V437" s="101">
        <f t="shared" si="268"/>
        <v>116278</v>
      </c>
      <c r="W437" s="600"/>
      <c r="X437" s="2"/>
      <c r="Y437" s="601"/>
      <c r="Z437" s="604"/>
      <c r="AA437" s="606"/>
      <c r="AB437" s="608"/>
      <c r="AC437" s="599"/>
      <c r="AD437" s="198" t="s">
        <v>109</v>
      </c>
      <c r="AE437" s="199">
        <f>AF436-AE436</f>
        <v>9896</v>
      </c>
      <c r="AF437" s="200"/>
      <c r="AG437" s="129">
        <f>11.69+0.06</f>
        <v>11.75</v>
      </c>
      <c r="AH437" s="101">
        <f t="shared" si="269"/>
        <v>116278</v>
      </c>
      <c r="AI437" s="600"/>
    </row>
    <row r="438" spans="1:35" ht="19.5" customHeight="1" x14ac:dyDescent="0.15">
      <c r="A438" s="792" t="s">
        <v>72</v>
      </c>
      <c r="B438" s="793">
        <f>B436</f>
        <v>215</v>
      </c>
      <c r="C438" s="795">
        <f>C436</f>
        <v>2008.8</v>
      </c>
      <c r="D438" s="793">
        <f>D436</f>
        <v>100</v>
      </c>
      <c r="E438" s="786">
        <f>ROUNDDOWN(B438*C438*((185-D438)/100),2)</f>
        <v>367108.2</v>
      </c>
      <c r="F438" s="313" t="s">
        <v>108</v>
      </c>
      <c r="G438" s="314">
        <f>ROUNDDOWN(H438*0.7,0)</f>
        <v>24127</v>
      </c>
      <c r="H438" s="315">
        <v>34468</v>
      </c>
      <c r="I438" s="316">
        <f t="shared" ref="I438:I447" si="270">I436</f>
        <v>12.88</v>
      </c>
      <c r="J438" s="302">
        <f t="shared" si="267"/>
        <v>310755.76</v>
      </c>
      <c r="K438" s="786">
        <f>ROUNDDOWN(J438+E438+J439,2)</f>
        <v>775689.82</v>
      </c>
      <c r="L438" s="2"/>
      <c r="M438" s="583" t="s">
        <v>72</v>
      </c>
      <c r="N438" s="585">
        <f>N436</f>
        <v>215</v>
      </c>
      <c r="O438" s="587">
        <f>O436</f>
        <v>1296</v>
      </c>
      <c r="P438" s="589">
        <f>P436</f>
        <v>100</v>
      </c>
      <c r="Q438" s="591">
        <f>ROUNDDOWN(N438*O438*((185-P438)/100),2)</f>
        <v>236844</v>
      </c>
      <c r="R438" s="201" t="s">
        <v>108</v>
      </c>
      <c r="S438" s="202">
        <f>ROUNDDOWN(T438*0.7,0)</f>
        <v>24127</v>
      </c>
      <c r="T438" s="203">
        <v>34468</v>
      </c>
      <c r="U438" s="131">
        <f t="shared" ref="U438:U447" si="271">U436</f>
        <v>19.02</v>
      </c>
      <c r="V438" s="102">
        <f t="shared" si="268"/>
        <v>458895.54</v>
      </c>
      <c r="W438" s="593">
        <f>ROUNDDOWN(V438+Q438+V439,2)</f>
        <v>817246.29</v>
      </c>
      <c r="X438" s="2"/>
      <c r="Y438" s="583" t="s">
        <v>72</v>
      </c>
      <c r="Z438" s="585">
        <f>Z436</f>
        <v>215</v>
      </c>
      <c r="AA438" s="587">
        <f>AA436</f>
        <v>1296</v>
      </c>
      <c r="AB438" s="589">
        <f>AB436</f>
        <v>100</v>
      </c>
      <c r="AC438" s="591">
        <f>ROUNDDOWN(Z438*AA438*((185-AB438)/100),2)</f>
        <v>236844</v>
      </c>
      <c r="AD438" s="201" t="s">
        <v>108</v>
      </c>
      <c r="AE438" s="202">
        <f>ROUNDDOWN(AF438*0.7,0)</f>
        <v>24127</v>
      </c>
      <c r="AF438" s="203">
        <v>34468</v>
      </c>
      <c r="AG438" s="131">
        <f t="shared" ref="AG438:AG447" si="272">AG436</f>
        <v>19.02</v>
      </c>
      <c r="AH438" s="102">
        <f t="shared" si="269"/>
        <v>458895.54</v>
      </c>
      <c r="AI438" s="593">
        <f>ROUNDDOWN(AH438+AC438+AH439,2)</f>
        <v>817246.29</v>
      </c>
    </row>
    <row r="439" spans="1:35" ht="19.5" customHeight="1" x14ac:dyDescent="0.15">
      <c r="A439" s="789"/>
      <c r="B439" s="794"/>
      <c r="C439" s="796"/>
      <c r="D439" s="794"/>
      <c r="E439" s="787"/>
      <c r="F439" s="310" t="s">
        <v>109</v>
      </c>
      <c r="G439" s="298">
        <f>H438-G438</f>
        <v>10341</v>
      </c>
      <c r="H439" s="312"/>
      <c r="I439" s="317">
        <f t="shared" si="270"/>
        <v>9.4600000000000009</v>
      </c>
      <c r="J439" s="300">
        <f t="shared" si="267"/>
        <v>97825.86</v>
      </c>
      <c r="K439" s="787"/>
      <c r="L439" s="2"/>
      <c r="M439" s="601"/>
      <c r="N439" s="596"/>
      <c r="O439" s="597"/>
      <c r="P439" s="598"/>
      <c r="Q439" s="599"/>
      <c r="R439" s="198" t="s">
        <v>109</v>
      </c>
      <c r="S439" s="177">
        <f>T438-S438</f>
        <v>10341</v>
      </c>
      <c r="T439" s="200"/>
      <c r="U439" s="132">
        <f t="shared" si="271"/>
        <v>11.75</v>
      </c>
      <c r="V439" s="101">
        <f t="shared" si="268"/>
        <v>121506.75</v>
      </c>
      <c r="W439" s="600"/>
      <c r="X439" s="2"/>
      <c r="Y439" s="601"/>
      <c r="Z439" s="596"/>
      <c r="AA439" s="597"/>
      <c r="AB439" s="598"/>
      <c r="AC439" s="599"/>
      <c r="AD439" s="198" t="s">
        <v>109</v>
      </c>
      <c r="AE439" s="177">
        <f>AF438-AE438</f>
        <v>10341</v>
      </c>
      <c r="AF439" s="200"/>
      <c r="AG439" s="132">
        <f t="shared" si="272"/>
        <v>11.75</v>
      </c>
      <c r="AH439" s="101">
        <f t="shared" si="269"/>
        <v>121506.75</v>
      </c>
      <c r="AI439" s="600"/>
    </row>
    <row r="440" spans="1:35" ht="19.5" customHeight="1" x14ac:dyDescent="0.15">
      <c r="A440" s="792" t="s">
        <v>73</v>
      </c>
      <c r="B440" s="793">
        <f>B438</f>
        <v>215</v>
      </c>
      <c r="C440" s="795">
        <f>C438</f>
        <v>2008.8</v>
      </c>
      <c r="D440" s="793">
        <f>D438</f>
        <v>100</v>
      </c>
      <c r="E440" s="786">
        <f>ROUNDDOWN(B440*C440*((185-D440)/100),2)</f>
        <v>367108.2</v>
      </c>
      <c r="F440" s="313" t="s">
        <v>108</v>
      </c>
      <c r="G440" s="314">
        <f>ROUNDDOWN(H440*0.7,0)</f>
        <v>21746</v>
      </c>
      <c r="H440" s="315">
        <v>31067</v>
      </c>
      <c r="I440" s="316">
        <f t="shared" si="270"/>
        <v>12.88</v>
      </c>
      <c r="J440" s="302">
        <f t="shared" si="267"/>
        <v>280088.48</v>
      </c>
      <c r="K440" s="786">
        <f>ROUNDDOWN(J440+E440+J441,2)</f>
        <v>735373.34</v>
      </c>
      <c r="L440" s="2"/>
      <c r="M440" s="583" t="s">
        <v>73</v>
      </c>
      <c r="N440" s="585">
        <f>N438</f>
        <v>215</v>
      </c>
      <c r="O440" s="587">
        <f>O438</f>
        <v>1296</v>
      </c>
      <c r="P440" s="589">
        <f>P438</f>
        <v>100</v>
      </c>
      <c r="Q440" s="591">
        <f>ROUNDDOWN(N440*O440*((185-P440)/100),2)</f>
        <v>236844</v>
      </c>
      <c r="R440" s="201" t="s">
        <v>108</v>
      </c>
      <c r="S440" s="202">
        <f>ROUNDDOWN(T440*0.7,0)</f>
        <v>21746</v>
      </c>
      <c r="T440" s="203">
        <v>31067</v>
      </c>
      <c r="U440" s="131">
        <f t="shared" si="271"/>
        <v>19.02</v>
      </c>
      <c r="V440" s="102">
        <f t="shared" si="268"/>
        <v>413608.92</v>
      </c>
      <c r="W440" s="593">
        <f>ROUNDDOWN(V440+Q440+V441,2)</f>
        <v>759974.67</v>
      </c>
      <c r="X440" s="2"/>
      <c r="Y440" s="583" t="s">
        <v>73</v>
      </c>
      <c r="Z440" s="585">
        <f>Z438</f>
        <v>215</v>
      </c>
      <c r="AA440" s="587">
        <f>AA438</f>
        <v>1296</v>
      </c>
      <c r="AB440" s="589">
        <f>AB438</f>
        <v>100</v>
      </c>
      <c r="AC440" s="591">
        <f>ROUNDDOWN(Z440*AA440*((185-AB440)/100),2)</f>
        <v>236844</v>
      </c>
      <c r="AD440" s="201" t="s">
        <v>108</v>
      </c>
      <c r="AE440" s="202">
        <f>ROUNDDOWN(AF440*0.7,0)</f>
        <v>21746</v>
      </c>
      <c r="AF440" s="203">
        <v>31067</v>
      </c>
      <c r="AG440" s="131">
        <f t="shared" si="272"/>
        <v>19.02</v>
      </c>
      <c r="AH440" s="102">
        <f t="shared" si="269"/>
        <v>413608.92</v>
      </c>
      <c r="AI440" s="593">
        <f>ROUNDDOWN(AH440+AC440+AH441,2)</f>
        <v>759974.67</v>
      </c>
    </row>
    <row r="441" spans="1:35" ht="19.5" customHeight="1" x14ac:dyDescent="0.15">
      <c r="A441" s="789"/>
      <c r="B441" s="794"/>
      <c r="C441" s="796"/>
      <c r="D441" s="794"/>
      <c r="E441" s="787"/>
      <c r="F441" s="310" t="s">
        <v>109</v>
      </c>
      <c r="G441" s="298">
        <f>H440-G440</f>
        <v>9321</v>
      </c>
      <c r="H441" s="312"/>
      <c r="I441" s="317">
        <f t="shared" si="270"/>
        <v>9.4600000000000009</v>
      </c>
      <c r="J441" s="300">
        <f t="shared" si="267"/>
        <v>88176.66</v>
      </c>
      <c r="K441" s="787"/>
      <c r="L441" s="2"/>
      <c r="M441" s="601"/>
      <c r="N441" s="596"/>
      <c r="O441" s="597"/>
      <c r="P441" s="598"/>
      <c r="Q441" s="599"/>
      <c r="R441" s="198" t="s">
        <v>109</v>
      </c>
      <c r="S441" s="177">
        <f>T440-S440</f>
        <v>9321</v>
      </c>
      <c r="T441" s="200"/>
      <c r="U441" s="132">
        <f t="shared" si="271"/>
        <v>11.75</v>
      </c>
      <c r="V441" s="101">
        <f t="shared" si="268"/>
        <v>109521.75</v>
      </c>
      <c r="W441" s="600"/>
      <c r="X441" s="2"/>
      <c r="Y441" s="601"/>
      <c r="Z441" s="596"/>
      <c r="AA441" s="597"/>
      <c r="AB441" s="598"/>
      <c r="AC441" s="599"/>
      <c r="AD441" s="198" t="s">
        <v>109</v>
      </c>
      <c r="AE441" s="177">
        <f>AF440-AE440</f>
        <v>9321</v>
      </c>
      <c r="AF441" s="200"/>
      <c r="AG441" s="132">
        <f t="shared" si="272"/>
        <v>11.75</v>
      </c>
      <c r="AH441" s="101">
        <f t="shared" si="269"/>
        <v>109521.75</v>
      </c>
      <c r="AI441" s="600"/>
    </row>
    <row r="442" spans="1:35" ht="19.5" customHeight="1" x14ac:dyDescent="0.15">
      <c r="A442" s="792" t="s">
        <v>74</v>
      </c>
      <c r="B442" s="793">
        <f>B440</f>
        <v>215</v>
      </c>
      <c r="C442" s="795">
        <f>C440</f>
        <v>2008.8</v>
      </c>
      <c r="D442" s="793">
        <f>D440</f>
        <v>100</v>
      </c>
      <c r="E442" s="786">
        <f>ROUNDDOWN(B442*C442*((185-D442)/100),2)</f>
        <v>367108.2</v>
      </c>
      <c r="F442" s="313" t="s">
        <v>108</v>
      </c>
      <c r="G442" s="301">
        <v>7242</v>
      </c>
      <c r="H442" s="315">
        <f>SUM(G442:G443)</f>
        <v>11640</v>
      </c>
      <c r="I442" s="316">
        <f t="shared" si="270"/>
        <v>12.88</v>
      </c>
      <c r="J442" s="302">
        <f t="shared" si="267"/>
        <v>93276.96</v>
      </c>
      <c r="K442" s="786">
        <f>ROUNDDOWN(J442+E442+J443,2)</f>
        <v>501990.24</v>
      </c>
      <c r="L442" s="2"/>
      <c r="M442" s="583" t="s">
        <v>74</v>
      </c>
      <c r="N442" s="585">
        <f>N440</f>
        <v>215</v>
      </c>
      <c r="O442" s="587">
        <f>O440</f>
        <v>1296</v>
      </c>
      <c r="P442" s="589">
        <f>P440</f>
        <v>100</v>
      </c>
      <c r="Q442" s="591">
        <f>ROUNDDOWN(N442*O442*((185-P442)/100),2)</f>
        <v>236844</v>
      </c>
      <c r="R442" s="201" t="s">
        <v>108</v>
      </c>
      <c r="S442" s="180">
        <v>7242</v>
      </c>
      <c r="T442" s="180"/>
      <c r="U442" s="131">
        <f t="shared" si="271"/>
        <v>19.02</v>
      </c>
      <c r="V442" s="102">
        <f t="shared" si="268"/>
        <v>137742.84</v>
      </c>
      <c r="W442" s="593">
        <f>ROUNDDOWN(V442+Q442+V443,2)</f>
        <v>426263.34</v>
      </c>
      <c r="X442" s="2"/>
      <c r="Y442" s="583" t="s">
        <v>74</v>
      </c>
      <c r="Z442" s="585">
        <f>Z440</f>
        <v>215</v>
      </c>
      <c r="AA442" s="587">
        <f>AA440</f>
        <v>1296</v>
      </c>
      <c r="AB442" s="589">
        <f>AB440</f>
        <v>100</v>
      </c>
      <c r="AC442" s="591">
        <f>ROUNDDOWN(Z442*AA442*((185-AB442)/100),2)</f>
        <v>236844</v>
      </c>
      <c r="AD442" s="201" t="s">
        <v>108</v>
      </c>
      <c r="AE442" s="180">
        <v>7242</v>
      </c>
      <c r="AF442" s="180"/>
      <c r="AG442" s="131">
        <f t="shared" si="272"/>
        <v>19.02</v>
      </c>
      <c r="AH442" s="102">
        <f t="shared" si="269"/>
        <v>137742.84</v>
      </c>
      <c r="AI442" s="593">
        <f>ROUNDDOWN(AH442+AC442+AH443,2)</f>
        <v>426263.34</v>
      </c>
    </row>
    <row r="443" spans="1:35" ht="19.5" customHeight="1" x14ac:dyDescent="0.15">
      <c r="A443" s="789"/>
      <c r="B443" s="794"/>
      <c r="C443" s="796"/>
      <c r="D443" s="794"/>
      <c r="E443" s="787"/>
      <c r="F443" s="310" t="s">
        <v>109</v>
      </c>
      <c r="G443" s="298">
        <v>4398</v>
      </c>
      <c r="H443" s="312"/>
      <c r="I443" s="317">
        <f t="shared" si="270"/>
        <v>9.4600000000000009</v>
      </c>
      <c r="J443" s="300">
        <f t="shared" si="267"/>
        <v>41605.08</v>
      </c>
      <c r="K443" s="787"/>
      <c r="L443" s="2"/>
      <c r="M443" s="601"/>
      <c r="N443" s="596"/>
      <c r="O443" s="597"/>
      <c r="P443" s="598"/>
      <c r="Q443" s="599"/>
      <c r="R443" s="198" t="s">
        <v>109</v>
      </c>
      <c r="S443" s="177">
        <v>4398</v>
      </c>
      <c r="T443" s="177"/>
      <c r="U443" s="132">
        <f t="shared" si="271"/>
        <v>11.75</v>
      </c>
      <c r="V443" s="101">
        <f t="shared" si="268"/>
        <v>51676.5</v>
      </c>
      <c r="W443" s="600"/>
      <c r="X443" s="2"/>
      <c r="Y443" s="601"/>
      <c r="Z443" s="596"/>
      <c r="AA443" s="597"/>
      <c r="AB443" s="598"/>
      <c r="AC443" s="599"/>
      <c r="AD443" s="198" t="s">
        <v>109</v>
      </c>
      <c r="AE443" s="177">
        <v>4398</v>
      </c>
      <c r="AF443" s="177"/>
      <c r="AG443" s="132">
        <f t="shared" si="272"/>
        <v>11.75</v>
      </c>
      <c r="AH443" s="101">
        <f t="shared" si="269"/>
        <v>51676.5</v>
      </c>
      <c r="AI443" s="600"/>
    </row>
    <row r="444" spans="1:35" ht="19.5" customHeight="1" x14ac:dyDescent="0.15">
      <c r="A444" s="792" t="s">
        <v>75</v>
      </c>
      <c r="B444" s="793">
        <f>B442</f>
        <v>215</v>
      </c>
      <c r="C444" s="795">
        <f>C442</f>
        <v>2008.8</v>
      </c>
      <c r="D444" s="793">
        <f>D442</f>
        <v>100</v>
      </c>
      <c r="E444" s="786">
        <f>ROUNDDOWN(B444*C444*((185-D444)/100),2)</f>
        <v>367108.2</v>
      </c>
      <c r="F444" s="313" t="s">
        <v>108</v>
      </c>
      <c r="G444" s="301">
        <v>12804</v>
      </c>
      <c r="H444" s="315">
        <f>SUM(G444:G445)</f>
        <v>20322</v>
      </c>
      <c r="I444" s="316">
        <f t="shared" si="270"/>
        <v>12.88</v>
      </c>
      <c r="J444" s="302">
        <f t="shared" si="267"/>
        <v>164915.51999999999</v>
      </c>
      <c r="K444" s="786">
        <f>ROUNDDOWN(J444+E444+J445,2)</f>
        <v>603144</v>
      </c>
      <c r="L444" s="2"/>
      <c r="M444" s="583" t="s">
        <v>75</v>
      </c>
      <c r="N444" s="585">
        <f>N442</f>
        <v>215</v>
      </c>
      <c r="O444" s="587">
        <f>O442</f>
        <v>1296</v>
      </c>
      <c r="P444" s="589">
        <f>P442</f>
        <v>100</v>
      </c>
      <c r="Q444" s="591">
        <f>ROUNDDOWN(N444*O444*((185-P444)/100),2)</f>
        <v>236844</v>
      </c>
      <c r="R444" s="201" t="s">
        <v>108</v>
      </c>
      <c r="S444" s="180">
        <v>12804</v>
      </c>
      <c r="T444" s="180"/>
      <c r="U444" s="131">
        <f t="shared" si="271"/>
        <v>19.02</v>
      </c>
      <c r="V444" s="102">
        <f t="shared" si="268"/>
        <v>243532.08</v>
      </c>
      <c r="W444" s="593">
        <f>ROUNDDOWN(V444+Q444+V445,2)</f>
        <v>568712.57999999996</v>
      </c>
      <c r="X444" s="2"/>
      <c r="Y444" s="583" t="s">
        <v>75</v>
      </c>
      <c r="Z444" s="585">
        <f>Z442</f>
        <v>215</v>
      </c>
      <c r="AA444" s="587">
        <f>AA442</f>
        <v>1296</v>
      </c>
      <c r="AB444" s="589">
        <f>AB442</f>
        <v>100</v>
      </c>
      <c r="AC444" s="591">
        <f>ROUNDDOWN(Z444*AA444*((185-AB444)/100),2)</f>
        <v>236844</v>
      </c>
      <c r="AD444" s="201" t="s">
        <v>108</v>
      </c>
      <c r="AE444" s="180">
        <v>12804</v>
      </c>
      <c r="AF444" s="180"/>
      <c r="AG444" s="131">
        <f t="shared" si="272"/>
        <v>19.02</v>
      </c>
      <c r="AH444" s="102">
        <f t="shared" si="269"/>
        <v>243532.08</v>
      </c>
      <c r="AI444" s="593">
        <f>ROUNDDOWN(AH444+AC444+AH445,2)</f>
        <v>568712.57999999996</v>
      </c>
    </row>
    <row r="445" spans="1:35" ht="19.5" customHeight="1" x14ac:dyDescent="0.15">
      <c r="A445" s="789"/>
      <c r="B445" s="794"/>
      <c r="C445" s="796"/>
      <c r="D445" s="794"/>
      <c r="E445" s="787"/>
      <c r="F445" s="310" t="s">
        <v>109</v>
      </c>
      <c r="G445" s="298">
        <v>7518</v>
      </c>
      <c r="H445" s="312"/>
      <c r="I445" s="317">
        <f t="shared" si="270"/>
        <v>9.4600000000000009</v>
      </c>
      <c r="J445" s="300">
        <f t="shared" si="267"/>
        <v>71120.28</v>
      </c>
      <c r="K445" s="787"/>
      <c r="L445" s="2"/>
      <c r="M445" s="601"/>
      <c r="N445" s="596"/>
      <c r="O445" s="597"/>
      <c r="P445" s="598"/>
      <c r="Q445" s="599"/>
      <c r="R445" s="198" t="s">
        <v>109</v>
      </c>
      <c r="S445" s="177">
        <v>7518</v>
      </c>
      <c r="T445" s="177"/>
      <c r="U445" s="132">
        <f t="shared" si="271"/>
        <v>11.75</v>
      </c>
      <c r="V445" s="101">
        <f t="shared" si="268"/>
        <v>88336.5</v>
      </c>
      <c r="W445" s="600"/>
      <c r="X445" s="2"/>
      <c r="Y445" s="601"/>
      <c r="Z445" s="596"/>
      <c r="AA445" s="597"/>
      <c r="AB445" s="598"/>
      <c r="AC445" s="599"/>
      <c r="AD445" s="198" t="s">
        <v>109</v>
      </c>
      <c r="AE445" s="177">
        <v>7518</v>
      </c>
      <c r="AF445" s="177"/>
      <c r="AG445" s="132">
        <f t="shared" si="272"/>
        <v>11.75</v>
      </c>
      <c r="AH445" s="101">
        <f t="shared" si="269"/>
        <v>88336.5</v>
      </c>
      <c r="AI445" s="600"/>
    </row>
    <row r="446" spans="1:35" ht="19.5" customHeight="1" x14ac:dyDescent="0.15">
      <c r="A446" s="792" t="s">
        <v>76</v>
      </c>
      <c r="B446" s="793">
        <f>B444</f>
        <v>215</v>
      </c>
      <c r="C446" s="795">
        <f>C444</f>
        <v>2008.8</v>
      </c>
      <c r="D446" s="793">
        <f>D444</f>
        <v>100</v>
      </c>
      <c r="E446" s="786">
        <f>ROUNDDOWN(B446*C446*((185-D446)/100),2)</f>
        <v>367108.2</v>
      </c>
      <c r="F446" s="313" t="s">
        <v>108</v>
      </c>
      <c r="G446" s="301">
        <f>5730+18246</f>
        <v>23976</v>
      </c>
      <c r="H446" s="315">
        <f>SUM(G446:G447)</f>
        <v>32802</v>
      </c>
      <c r="I446" s="316">
        <f t="shared" si="270"/>
        <v>12.88</v>
      </c>
      <c r="J446" s="302">
        <f t="shared" si="267"/>
        <v>308810.88</v>
      </c>
      <c r="K446" s="786">
        <f>ROUNDDOWN(J446+E446+J447,2)</f>
        <v>759413.04</v>
      </c>
      <c r="L446" s="2"/>
      <c r="M446" s="583" t="s">
        <v>76</v>
      </c>
      <c r="N446" s="585">
        <f>N444</f>
        <v>215</v>
      </c>
      <c r="O446" s="587">
        <f>O444</f>
        <v>1296</v>
      </c>
      <c r="P446" s="589">
        <f>P444</f>
        <v>100</v>
      </c>
      <c r="Q446" s="591">
        <f>ROUNDDOWN(N446*O446*((185-P446)/100),2)</f>
        <v>236844</v>
      </c>
      <c r="R446" s="201" t="s">
        <v>108</v>
      </c>
      <c r="S446" s="180">
        <f>5730+18246</f>
        <v>23976</v>
      </c>
      <c r="T446" s="180"/>
      <c r="U446" s="131">
        <f t="shared" si="271"/>
        <v>19.02</v>
      </c>
      <c r="V446" s="102">
        <f t="shared" si="268"/>
        <v>456023.52</v>
      </c>
      <c r="W446" s="593">
        <f>ROUNDDOWN(V446+Q446+V447,2)</f>
        <v>796573.02</v>
      </c>
      <c r="X446" s="2"/>
      <c r="Y446" s="583" t="s">
        <v>76</v>
      </c>
      <c r="Z446" s="585">
        <f>Z444</f>
        <v>215</v>
      </c>
      <c r="AA446" s="587">
        <f>AA444</f>
        <v>1296</v>
      </c>
      <c r="AB446" s="589">
        <f>AB444</f>
        <v>100</v>
      </c>
      <c r="AC446" s="591">
        <f>ROUNDDOWN(Z446*AA446*((185-AB446)/100),2)</f>
        <v>236844</v>
      </c>
      <c r="AD446" s="201" t="s">
        <v>108</v>
      </c>
      <c r="AE446" s="180">
        <f>5730+18246</f>
        <v>23976</v>
      </c>
      <c r="AF446" s="180"/>
      <c r="AG446" s="131">
        <f t="shared" si="272"/>
        <v>19.02</v>
      </c>
      <c r="AH446" s="102">
        <f t="shared" si="269"/>
        <v>456023.52</v>
      </c>
      <c r="AI446" s="593">
        <f>ROUNDDOWN(AH446+AC446+AH447,2)</f>
        <v>796573.02</v>
      </c>
    </row>
    <row r="447" spans="1:35" ht="19.5" customHeight="1" x14ac:dyDescent="0.15">
      <c r="A447" s="789"/>
      <c r="B447" s="794"/>
      <c r="C447" s="796"/>
      <c r="D447" s="794"/>
      <c r="E447" s="787"/>
      <c r="F447" s="310" t="s">
        <v>109</v>
      </c>
      <c r="G447" s="298">
        <f>2646+6180</f>
        <v>8826</v>
      </c>
      <c r="H447" s="312"/>
      <c r="I447" s="317">
        <f t="shared" si="270"/>
        <v>9.4600000000000009</v>
      </c>
      <c r="J447" s="300">
        <f t="shared" si="267"/>
        <v>83493.960000000006</v>
      </c>
      <c r="K447" s="787"/>
      <c r="L447" s="2"/>
      <c r="M447" s="601"/>
      <c r="N447" s="596"/>
      <c r="O447" s="597"/>
      <c r="P447" s="598"/>
      <c r="Q447" s="599"/>
      <c r="R447" s="198" t="s">
        <v>109</v>
      </c>
      <c r="S447" s="177">
        <f>2646+6180</f>
        <v>8826</v>
      </c>
      <c r="T447" s="177"/>
      <c r="U447" s="132">
        <f t="shared" si="271"/>
        <v>11.75</v>
      </c>
      <c r="V447" s="101">
        <f t="shared" si="268"/>
        <v>103705.5</v>
      </c>
      <c r="W447" s="600"/>
      <c r="X447" s="2"/>
      <c r="Y447" s="601"/>
      <c r="Z447" s="596"/>
      <c r="AA447" s="597"/>
      <c r="AB447" s="598"/>
      <c r="AC447" s="599"/>
      <c r="AD447" s="198" t="s">
        <v>109</v>
      </c>
      <c r="AE447" s="177">
        <f>2646+6180</f>
        <v>8826</v>
      </c>
      <c r="AF447" s="177"/>
      <c r="AG447" s="132">
        <f t="shared" si="272"/>
        <v>11.75</v>
      </c>
      <c r="AH447" s="101">
        <f t="shared" si="269"/>
        <v>103705.5</v>
      </c>
      <c r="AI447" s="600"/>
    </row>
    <row r="448" spans="1:35" ht="19.5" customHeight="1" x14ac:dyDescent="0.15">
      <c r="A448" s="792" t="s">
        <v>77</v>
      </c>
      <c r="B448" s="793">
        <f>B446</f>
        <v>215</v>
      </c>
      <c r="C448" s="795">
        <f>C446</f>
        <v>2008.8</v>
      </c>
      <c r="D448" s="793">
        <f>D446</f>
        <v>100</v>
      </c>
      <c r="E448" s="786">
        <f>ROUNDDOWN(B448*C448*((185-D448)/100),2)</f>
        <v>367108.2</v>
      </c>
      <c r="F448" s="313" t="s">
        <v>110</v>
      </c>
      <c r="G448" s="301">
        <v>30546</v>
      </c>
      <c r="H448" s="315">
        <f>SUM(G448:G449)</f>
        <v>46608</v>
      </c>
      <c r="I448" s="303">
        <v>13.88</v>
      </c>
      <c r="J448" s="302">
        <f t="shared" si="267"/>
        <v>423978.48</v>
      </c>
      <c r="K448" s="786">
        <f>ROUNDDOWN(J448+E448+J449,2)</f>
        <v>953794.74</v>
      </c>
      <c r="L448" s="2"/>
      <c r="M448" s="583" t="s">
        <v>77</v>
      </c>
      <c r="N448" s="585">
        <f>N446</f>
        <v>215</v>
      </c>
      <c r="O448" s="587">
        <f>O446</f>
        <v>1296</v>
      </c>
      <c r="P448" s="589">
        <f>P446</f>
        <v>100</v>
      </c>
      <c r="Q448" s="591">
        <f>ROUNDDOWN(N448*O448*((185-P448)/100),2)</f>
        <v>236844</v>
      </c>
      <c r="R448" s="201" t="s">
        <v>110</v>
      </c>
      <c r="S448" s="180">
        <v>30546</v>
      </c>
      <c r="T448" s="180"/>
      <c r="U448" s="130">
        <f>20.59+0.06</f>
        <v>20.65</v>
      </c>
      <c r="V448" s="102">
        <f t="shared" si="268"/>
        <v>630774.9</v>
      </c>
      <c r="W448" s="593">
        <f>ROUNDDOWN(V448+Q448+V449,2)</f>
        <v>1071124.44</v>
      </c>
      <c r="X448" s="2"/>
      <c r="Y448" s="583" t="s">
        <v>77</v>
      </c>
      <c r="Z448" s="585">
        <f>Z446</f>
        <v>215</v>
      </c>
      <c r="AA448" s="587">
        <f>AA446</f>
        <v>1296</v>
      </c>
      <c r="AB448" s="589">
        <f>AB446</f>
        <v>100</v>
      </c>
      <c r="AC448" s="591">
        <f>ROUNDDOWN(Z448*AA448*((185-AB448)/100),2)</f>
        <v>236844</v>
      </c>
      <c r="AD448" s="201" t="s">
        <v>110</v>
      </c>
      <c r="AE448" s="180">
        <v>30546</v>
      </c>
      <c r="AF448" s="180"/>
      <c r="AG448" s="130">
        <f>20.59+0.06</f>
        <v>20.65</v>
      </c>
      <c r="AH448" s="102">
        <f t="shared" si="269"/>
        <v>630774.9</v>
      </c>
      <c r="AI448" s="593">
        <f>ROUNDDOWN(AH448+AC448+AH449,2)</f>
        <v>1071124.44</v>
      </c>
    </row>
    <row r="449" spans="1:35" ht="19.5" customHeight="1" x14ac:dyDescent="0.15">
      <c r="A449" s="789"/>
      <c r="B449" s="794"/>
      <c r="C449" s="796"/>
      <c r="D449" s="794"/>
      <c r="E449" s="787"/>
      <c r="F449" s="310" t="s">
        <v>111</v>
      </c>
      <c r="G449" s="298">
        <v>16062</v>
      </c>
      <c r="H449" s="312"/>
      <c r="I449" s="299">
        <v>10.130000000000001</v>
      </c>
      <c r="J449" s="300">
        <f t="shared" si="267"/>
        <v>162708.06</v>
      </c>
      <c r="K449" s="787"/>
      <c r="L449" s="2"/>
      <c r="M449" s="601"/>
      <c r="N449" s="596"/>
      <c r="O449" s="597"/>
      <c r="P449" s="598"/>
      <c r="Q449" s="599"/>
      <c r="R449" s="198" t="s">
        <v>111</v>
      </c>
      <c r="S449" s="177">
        <v>16062</v>
      </c>
      <c r="T449" s="177"/>
      <c r="U449" s="129">
        <f>12.61+0.06</f>
        <v>12.67</v>
      </c>
      <c r="V449" s="101">
        <f t="shared" si="268"/>
        <v>203505.54</v>
      </c>
      <c r="W449" s="600"/>
      <c r="X449" s="2"/>
      <c r="Y449" s="601"/>
      <c r="Z449" s="596"/>
      <c r="AA449" s="597"/>
      <c r="AB449" s="598"/>
      <c r="AC449" s="599"/>
      <c r="AD449" s="198" t="s">
        <v>111</v>
      </c>
      <c r="AE449" s="177">
        <v>16062</v>
      </c>
      <c r="AF449" s="177"/>
      <c r="AG449" s="129">
        <f>12.61+0.06</f>
        <v>12.67</v>
      </c>
      <c r="AH449" s="101">
        <f t="shared" si="269"/>
        <v>203505.54</v>
      </c>
      <c r="AI449" s="600"/>
    </row>
    <row r="450" spans="1:35" ht="19.5" customHeight="1" x14ac:dyDescent="0.15">
      <c r="A450" s="792" t="s">
        <v>78</v>
      </c>
      <c r="B450" s="793">
        <f>B448</f>
        <v>215</v>
      </c>
      <c r="C450" s="795">
        <f>C448</f>
        <v>2008.8</v>
      </c>
      <c r="D450" s="793">
        <f>D448</f>
        <v>100</v>
      </c>
      <c r="E450" s="786">
        <f>ROUNDDOWN(B450*C450*((185-D450)/100),2)</f>
        <v>367108.2</v>
      </c>
      <c r="F450" s="313" t="s">
        <v>110</v>
      </c>
      <c r="G450" s="301">
        <v>30468</v>
      </c>
      <c r="H450" s="315">
        <f>SUM(G450:G451)</f>
        <v>43386</v>
      </c>
      <c r="I450" s="316">
        <f>I448</f>
        <v>13.88</v>
      </c>
      <c r="J450" s="302">
        <f t="shared" si="267"/>
        <v>422895.84</v>
      </c>
      <c r="K450" s="786">
        <f>ROUNDDOWN(J450+E450+J451,2)</f>
        <v>920863.38</v>
      </c>
      <c r="L450" s="89"/>
      <c r="M450" s="583" t="s">
        <v>78</v>
      </c>
      <c r="N450" s="585">
        <f>N448</f>
        <v>215</v>
      </c>
      <c r="O450" s="587">
        <f>O448</f>
        <v>1296</v>
      </c>
      <c r="P450" s="589">
        <f>P448</f>
        <v>100</v>
      </c>
      <c r="Q450" s="591">
        <f>ROUNDDOWN(N450*O450*((185-P450)/100),2)</f>
        <v>236844</v>
      </c>
      <c r="R450" s="201" t="s">
        <v>110</v>
      </c>
      <c r="S450" s="180">
        <v>30468</v>
      </c>
      <c r="T450" s="180"/>
      <c r="U450" s="131">
        <f>U448</f>
        <v>20.65</v>
      </c>
      <c r="V450" s="102">
        <f t="shared" si="268"/>
        <v>629164.19999999995</v>
      </c>
      <c r="W450" s="593">
        <f>ROUNDDOWN(V450+Q450+V451,2)</f>
        <v>1029679.26</v>
      </c>
      <c r="X450" s="89"/>
      <c r="Y450" s="583" t="s">
        <v>78</v>
      </c>
      <c r="Z450" s="585">
        <f>Z448</f>
        <v>215</v>
      </c>
      <c r="AA450" s="587">
        <f>AA448</f>
        <v>1296</v>
      </c>
      <c r="AB450" s="589">
        <f>AB448</f>
        <v>100</v>
      </c>
      <c r="AC450" s="591">
        <f>ROUNDDOWN(Z450*AA450*((185-AB450)/100),2)</f>
        <v>236844</v>
      </c>
      <c r="AD450" s="201" t="s">
        <v>110</v>
      </c>
      <c r="AE450" s="180">
        <v>30468</v>
      </c>
      <c r="AF450" s="180"/>
      <c r="AG450" s="131">
        <f>AG448</f>
        <v>20.65</v>
      </c>
      <c r="AH450" s="102">
        <f t="shared" si="269"/>
        <v>629164.19999999995</v>
      </c>
      <c r="AI450" s="593">
        <f>ROUNDDOWN(AH450+AC450+AH451,2)</f>
        <v>1029679.26</v>
      </c>
    </row>
    <row r="451" spans="1:35" ht="19.5" customHeight="1" x14ac:dyDescent="0.15">
      <c r="A451" s="789"/>
      <c r="B451" s="794"/>
      <c r="C451" s="796"/>
      <c r="D451" s="794"/>
      <c r="E451" s="787"/>
      <c r="F451" s="310" t="s">
        <v>111</v>
      </c>
      <c r="G451" s="298">
        <v>12918</v>
      </c>
      <c r="H451" s="312"/>
      <c r="I451" s="317">
        <f>I449</f>
        <v>10.130000000000001</v>
      </c>
      <c r="J451" s="300">
        <f t="shared" si="267"/>
        <v>130859.34</v>
      </c>
      <c r="K451" s="787"/>
      <c r="L451" s="89"/>
      <c r="M451" s="601"/>
      <c r="N451" s="596"/>
      <c r="O451" s="597"/>
      <c r="P451" s="598"/>
      <c r="Q451" s="599"/>
      <c r="R451" s="198" t="s">
        <v>111</v>
      </c>
      <c r="S451" s="177">
        <v>12918</v>
      </c>
      <c r="T451" s="177"/>
      <c r="U451" s="132">
        <f>U449</f>
        <v>12.67</v>
      </c>
      <c r="V451" s="101">
        <f t="shared" si="268"/>
        <v>163671.06</v>
      </c>
      <c r="W451" s="600"/>
      <c r="X451" s="89"/>
      <c r="Y451" s="601"/>
      <c r="Z451" s="596"/>
      <c r="AA451" s="597"/>
      <c r="AB451" s="598"/>
      <c r="AC451" s="599"/>
      <c r="AD451" s="198" t="s">
        <v>111</v>
      </c>
      <c r="AE451" s="177">
        <v>12918</v>
      </c>
      <c r="AF451" s="177"/>
      <c r="AG451" s="132">
        <f>AG449</f>
        <v>12.67</v>
      </c>
      <c r="AH451" s="101">
        <f t="shared" si="269"/>
        <v>163671.06</v>
      </c>
      <c r="AI451" s="600"/>
    </row>
    <row r="452" spans="1:35" ht="19.5" customHeight="1" x14ac:dyDescent="0.15">
      <c r="A452" s="792" t="s">
        <v>79</v>
      </c>
      <c r="B452" s="793">
        <f>B450</f>
        <v>215</v>
      </c>
      <c r="C452" s="795">
        <f>C450</f>
        <v>2008.8</v>
      </c>
      <c r="D452" s="793">
        <f>D450</f>
        <v>100</v>
      </c>
      <c r="E452" s="786">
        <f>ROUNDDOWN(B452*C452*((185-D452)/100),2)</f>
        <v>367108.2</v>
      </c>
      <c r="F452" s="313" t="s">
        <v>110</v>
      </c>
      <c r="G452" s="301">
        <f>17406+4566</f>
        <v>21972</v>
      </c>
      <c r="H452" s="315">
        <f>SUM(G452:G453)</f>
        <v>33486</v>
      </c>
      <c r="I452" s="316">
        <f>I450</f>
        <v>13.88</v>
      </c>
      <c r="J452" s="302">
        <f t="shared" si="267"/>
        <v>304971.36</v>
      </c>
      <c r="K452" s="786">
        <f>ROUNDDOWN(J452+E452+J453,2)</f>
        <v>788716.38</v>
      </c>
      <c r="L452" s="89"/>
      <c r="M452" s="583" t="s">
        <v>79</v>
      </c>
      <c r="N452" s="585">
        <f>N450</f>
        <v>215</v>
      </c>
      <c r="O452" s="587">
        <f>O450</f>
        <v>1296</v>
      </c>
      <c r="P452" s="589">
        <f>P450</f>
        <v>100</v>
      </c>
      <c r="Q452" s="591">
        <f>ROUNDDOWN(N452*O452*((185-P452)/100),2)</f>
        <v>236844</v>
      </c>
      <c r="R452" s="201" t="s">
        <v>110</v>
      </c>
      <c r="S452" s="180">
        <f>17406+4566</f>
        <v>21972</v>
      </c>
      <c r="T452" s="180"/>
      <c r="U452" s="131">
        <f>U450</f>
        <v>20.65</v>
      </c>
      <c r="V452" s="102">
        <f t="shared" si="268"/>
        <v>453721.8</v>
      </c>
      <c r="W452" s="593">
        <f>ROUNDDOWN(V452+Q452+V453,2)</f>
        <v>836448.18</v>
      </c>
      <c r="X452" s="89"/>
      <c r="Y452" s="583" t="s">
        <v>79</v>
      </c>
      <c r="Z452" s="585">
        <f>Z450</f>
        <v>215</v>
      </c>
      <c r="AA452" s="587">
        <f>AA450</f>
        <v>1296</v>
      </c>
      <c r="AB452" s="589">
        <f>AB450</f>
        <v>100</v>
      </c>
      <c r="AC452" s="591">
        <f>ROUNDDOWN(Z452*AA452*((185-AB452)/100),2)</f>
        <v>236844</v>
      </c>
      <c r="AD452" s="201" t="s">
        <v>110</v>
      </c>
      <c r="AE452" s="180">
        <f>17406+4566</f>
        <v>21972</v>
      </c>
      <c r="AF452" s="180"/>
      <c r="AG452" s="131">
        <f>AG450</f>
        <v>20.65</v>
      </c>
      <c r="AH452" s="102">
        <f t="shared" si="269"/>
        <v>453721.8</v>
      </c>
      <c r="AI452" s="593">
        <f>ROUNDDOWN(AH452+AC452+AH453,2)</f>
        <v>836448.18</v>
      </c>
    </row>
    <row r="453" spans="1:35" ht="19.5" customHeight="1" x14ac:dyDescent="0.15">
      <c r="A453" s="789"/>
      <c r="B453" s="794"/>
      <c r="C453" s="796"/>
      <c r="D453" s="794"/>
      <c r="E453" s="787"/>
      <c r="F453" s="310" t="s">
        <v>111</v>
      </c>
      <c r="G453" s="298">
        <f>9054+2460</f>
        <v>11514</v>
      </c>
      <c r="H453" s="312"/>
      <c r="I453" s="317">
        <f>I451</f>
        <v>10.130000000000001</v>
      </c>
      <c r="J453" s="300">
        <f t="shared" si="267"/>
        <v>116636.82</v>
      </c>
      <c r="K453" s="787"/>
      <c r="L453" s="89"/>
      <c r="M453" s="601"/>
      <c r="N453" s="596"/>
      <c r="O453" s="597"/>
      <c r="P453" s="598"/>
      <c r="Q453" s="599"/>
      <c r="R453" s="198" t="s">
        <v>111</v>
      </c>
      <c r="S453" s="177">
        <f>9054+2460</f>
        <v>11514</v>
      </c>
      <c r="T453" s="177"/>
      <c r="U453" s="132">
        <f>U451</f>
        <v>12.67</v>
      </c>
      <c r="V453" s="101">
        <f t="shared" si="268"/>
        <v>145882.38</v>
      </c>
      <c r="W453" s="600"/>
      <c r="X453" s="89"/>
      <c r="Y453" s="601"/>
      <c r="Z453" s="596"/>
      <c r="AA453" s="597"/>
      <c r="AB453" s="598"/>
      <c r="AC453" s="599"/>
      <c r="AD453" s="198" t="s">
        <v>111</v>
      </c>
      <c r="AE453" s="177">
        <f>9054+2460</f>
        <v>11514</v>
      </c>
      <c r="AF453" s="177"/>
      <c r="AG453" s="132">
        <f>AG451</f>
        <v>12.67</v>
      </c>
      <c r="AH453" s="101">
        <f t="shared" si="269"/>
        <v>145882.38</v>
      </c>
      <c r="AI453" s="600"/>
    </row>
    <row r="454" spans="1:35" ht="19.5" customHeight="1" x14ac:dyDescent="0.15">
      <c r="A454" s="792" t="s">
        <v>80</v>
      </c>
      <c r="B454" s="793">
        <f>B452</f>
        <v>215</v>
      </c>
      <c r="C454" s="795">
        <f>C452</f>
        <v>2008.8</v>
      </c>
      <c r="D454" s="793">
        <f>D452</f>
        <v>100</v>
      </c>
      <c r="E454" s="786">
        <f>ROUNDDOWN(B454*C454*((185-D454)/100),2)</f>
        <v>367108.2</v>
      </c>
      <c r="F454" s="313" t="s">
        <v>108</v>
      </c>
      <c r="G454" s="301">
        <v>11166</v>
      </c>
      <c r="H454" s="315">
        <f>SUM(G454:G455)</f>
        <v>18294</v>
      </c>
      <c r="I454" s="316">
        <f>I446</f>
        <v>12.88</v>
      </c>
      <c r="J454" s="302">
        <f t="shared" si="267"/>
        <v>143818.07999999999</v>
      </c>
      <c r="K454" s="786">
        <f>ROUNDDOWN(J454+E454+J455,2)</f>
        <v>578357.16</v>
      </c>
      <c r="L454" s="89"/>
      <c r="M454" s="583" t="s">
        <v>80</v>
      </c>
      <c r="N454" s="585">
        <f>N452</f>
        <v>215</v>
      </c>
      <c r="O454" s="587">
        <f>O452</f>
        <v>1296</v>
      </c>
      <c r="P454" s="589">
        <f>P452</f>
        <v>100</v>
      </c>
      <c r="Q454" s="591">
        <f>ROUNDDOWN(N454*O454*((185-P454)/100),2)</f>
        <v>236844</v>
      </c>
      <c r="R454" s="201" t="s">
        <v>108</v>
      </c>
      <c r="S454" s="180">
        <v>11166</v>
      </c>
      <c r="T454" s="180"/>
      <c r="U454" s="131">
        <f>U446</f>
        <v>19.02</v>
      </c>
      <c r="V454" s="102">
        <f t="shared" si="268"/>
        <v>212377.32</v>
      </c>
      <c r="W454" s="593">
        <f>ROUNDDOWN(V454+Q454+V455,2)</f>
        <v>532975.31999999995</v>
      </c>
      <c r="X454" s="89"/>
      <c r="Y454" s="583" t="s">
        <v>80</v>
      </c>
      <c r="Z454" s="585">
        <f>Z452</f>
        <v>215</v>
      </c>
      <c r="AA454" s="587">
        <f>AA452</f>
        <v>1296</v>
      </c>
      <c r="AB454" s="589">
        <f>AB452</f>
        <v>100</v>
      </c>
      <c r="AC454" s="591">
        <f>ROUNDDOWN(Z454*AA454*((185-AB454)/100),2)</f>
        <v>236844</v>
      </c>
      <c r="AD454" s="201" t="s">
        <v>108</v>
      </c>
      <c r="AE454" s="180">
        <v>11166</v>
      </c>
      <c r="AF454" s="180"/>
      <c r="AG454" s="131">
        <f>AG446</f>
        <v>19.02</v>
      </c>
      <c r="AH454" s="102">
        <f t="shared" si="269"/>
        <v>212377.32</v>
      </c>
      <c r="AI454" s="593">
        <f>ROUNDDOWN(AH454+AC454+AH455,2)</f>
        <v>532975.31999999995</v>
      </c>
    </row>
    <row r="455" spans="1:35" ht="19.5" customHeight="1" x14ac:dyDescent="0.15">
      <c r="A455" s="789"/>
      <c r="B455" s="794"/>
      <c r="C455" s="796"/>
      <c r="D455" s="794"/>
      <c r="E455" s="787"/>
      <c r="F455" s="310" t="s">
        <v>109</v>
      </c>
      <c r="G455" s="298">
        <v>7128</v>
      </c>
      <c r="H455" s="312"/>
      <c r="I455" s="317">
        <f>I447</f>
        <v>9.4600000000000009</v>
      </c>
      <c r="J455" s="300">
        <f t="shared" si="267"/>
        <v>67430.880000000005</v>
      </c>
      <c r="K455" s="787"/>
      <c r="L455" s="89"/>
      <c r="M455" s="601"/>
      <c r="N455" s="596"/>
      <c r="O455" s="597"/>
      <c r="P455" s="598"/>
      <c r="Q455" s="599"/>
      <c r="R455" s="198" t="s">
        <v>109</v>
      </c>
      <c r="S455" s="177">
        <v>7128</v>
      </c>
      <c r="T455" s="177"/>
      <c r="U455" s="132">
        <f>U447</f>
        <v>11.75</v>
      </c>
      <c r="V455" s="101">
        <f t="shared" si="268"/>
        <v>83754</v>
      </c>
      <c r="W455" s="600"/>
      <c r="X455" s="89"/>
      <c r="Y455" s="601"/>
      <c r="Z455" s="596"/>
      <c r="AA455" s="597"/>
      <c r="AB455" s="598"/>
      <c r="AC455" s="599"/>
      <c r="AD455" s="198" t="s">
        <v>109</v>
      </c>
      <c r="AE455" s="177">
        <v>7128</v>
      </c>
      <c r="AF455" s="177"/>
      <c r="AG455" s="132">
        <f>AG447</f>
        <v>11.75</v>
      </c>
      <c r="AH455" s="101">
        <f t="shared" si="269"/>
        <v>83754</v>
      </c>
      <c r="AI455" s="600"/>
    </row>
    <row r="456" spans="1:35" ht="19.5" customHeight="1" x14ac:dyDescent="0.15">
      <c r="A456" s="792" t="s">
        <v>81</v>
      </c>
      <c r="B456" s="793">
        <f>B454</f>
        <v>215</v>
      </c>
      <c r="C456" s="795">
        <f>C454</f>
        <v>2008.8</v>
      </c>
      <c r="D456" s="793">
        <f>D454</f>
        <v>100</v>
      </c>
      <c r="E456" s="786">
        <f>ROUNDDOWN(B456*C456*((185-D456)/100),2)</f>
        <v>367108.2</v>
      </c>
      <c r="F456" s="313" t="s">
        <v>108</v>
      </c>
      <c r="G456" s="301">
        <v>13944</v>
      </c>
      <c r="H456" s="315">
        <f>SUM(G456:G457)</f>
        <v>20322</v>
      </c>
      <c r="I456" s="316">
        <f>I454</f>
        <v>12.88</v>
      </c>
      <c r="J456" s="302">
        <f t="shared" si="267"/>
        <v>179598.72</v>
      </c>
      <c r="K456" s="786">
        <f>ROUNDDOWN(J456+E456+J457,2)</f>
        <v>607042.80000000005</v>
      </c>
      <c r="L456" s="89"/>
      <c r="M456" s="583" t="s">
        <v>81</v>
      </c>
      <c r="N456" s="585">
        <f>N454</f>
        <v>215</v>
      </c>
      <c r="O456" s="587">
        <f>O454</f>
        <v>1296</v>
      </c>
      <c r="P456" s="589">
        <f>P454</f>
        <v>100</v>
      </c>
      <c r="Q456" s="591">
        <f>ROUNDDOWN(N456*O456*((185-P456)/100),2)</f>
        <v>236844</v>
      </c>
      <c r="R456" s="201" t="s">
        <v>108</v>
      </c>
      <c r="S456" s="180">
        <v>13944</v>
      </c>
      <c r="T456" s="180"/>
      <c r="U456" s="131">
        <f>U454</f>
        <v>19.02</v>
      </c>
      <c r="V456" s="102">
        <f t="shared" si="268"/>
        <v>265214.88</v>
      </c>
      <c r="W456" s="593">
        <f>ROUNDDOWN(V456+Q456+V457,2)</f>
        <v>577000.38</v>
      </c>
      <c r="X456" s="89"/>
      <c r="Y456" s="583" t="s">
        <v>81</v>
      </c>
      <c r="Z456" s="585">
        <f>Z454</f>
        <v>215</v>
      </c>
      <c r="AA456" s="587">
        <f>AA454</f>
        <v>1296</v>
      </c>
      <c r="AB456" s="589">
        <f>AB454</f>
        <v>100</v>
      </c>
      <c r="AC456" s="591">
        <f>ROUNDDOWN(Z456*AA456*((185-AB456)/100),2)</f>
        <v>236844</v>
      </c>
      <c r="AD456" s="201" t="s">
        <v>108</v>
      </c>
      <c r="AE456" s="180">
        <v>13944</v>
      </c>
      <c r="AF456" s="180"/>
      <c r="AG456" s="131">
        <f>AG454</f>
        <v>19.02</v>
      </c>
      <c r="AH456" s="102">
        <f t="shared" si="269"/>
        <v>265214.88</v>
      </c>
      <c r="AI456" s="593">
        <f>ROUNDDOWN(AH456+AC456+AH457,2)</f>
        <v>577000.38</v>
      </c>
    </row>
    <row r="457" spans="1:35" ht="19.5" customHeight="1" x14ac:dyDescent="0.15">
      <c r="A457" s="789"/>
      <c r="B457" s="794"/>
      <c r="C457" s="796"/>
      <c r="D457" s="794"/>
      <c r="E457" s="787"/>
      <c r="F457" s="310" t="s">
        <v>109</v>
      </c>
      <c r="G457" s="298">
        <v>6378</v>
      </c>
      <c r="H457" s="312"/>
      <c r="I457" s="317">
        <f>I455</f>
        <v>9.4600000000000009</v>
      </c>
      <c r="J457" s="300">
        <f t="shared" si="267"/>
        <v>60335.88</v>
      </c>
      <c r="K457" s="787"/>
      <c r="L457" s="89"/>
      <c r="M457" s="601"/>
      <c r="N457" s="596"/>
      <c r="O457" s="597"/>
      <c r="P457" s="598"/>
      <c r="Q457" s="599"/>
      <c r="R457" s="198" t="s">
        <v>109</v>
      </c>
      <c r="S457" s="177">
        <v>6378</v>
      </c>
      <c r="T457" s="177"/>
      <c r="U457" s="132">
        <f>U455</f>
        <v>11.75</v>
      </c>
      <c r="V457" s="101">
        <f t="shared" si="268"/>
        <v>74941.5</v>
      </c>
      <c r="W457" s="600"/>
      <c r="X457" s="89"/>
      <c r="Y457" s="601"/>
      <c r="Z457" s="596"/>
      <c r="AA457" s="597"/>
      <c r="AB457" s="598"/>
      <c r="AC457" s="599"/>
      <c r="AD457" s="198" t="s">
        <v>109</v>
      </c>
      <c r="AE457" s="177">
        <v>6378</v>
      </c>
      <c r="AF457" s="177"/>
      <c r="AG457" s="132">
        <f>AG455</f>
        <v>11.75</v>
      </c>
      <c r="AH457" s="101">
        <f t="shared" si="269"/>
        <v>74941.5</v>
      </c>
      <c r="AI457" s="600"/>
    </row>
    <row r="458" spans="1:35" ht="19.5" customHeight="1" x14ac:dyDescent="0.15">
      <c r="A458" s="792" t="s">
        <v>82</v>
      </c>
      <c r="B458" s="793">
        <f>B456</f>
        <v>215</v>
      </c>
      <c r="C458" s="795">
        <f>C456</f>
        <v>2008.8</v>
      </c>
      <c r="D458" s="793">
        <f>D456</f>
        <v>100</v>
      </c>
      <c r="E458" s="786">
        <f>ROUNDDOWN(B458*C458*((185-D458)/100),2)</f>
        <v>367108.2</v>
      </c>
      <c r="F458" s="313" t="s">
        <v>108</v>
      </c>
      <c r="G458" s="301">
        <v>14184</v>
      </c>
      <c r="H458" s="315">
        <f>SUM(G458:G459)</f>
        <v>21018</v>
      </c>
      <c r="I458" s="316">
        <f>I456</f>
        <v>12.88</v>
      </c>
      <c r="J458" s="302">
        <f t="shared" si="267"/>
        <v>182689.92000000001</v>
      </c>
      <c r="K458" s="786">
        <f>ROUNDDOWN(J458+E458+J459,2)</f>
        <v>614447.76</v>
      </c>
      <c r="L458" s="89"/>
      <c r="M458" s="583" t="s">
        <v>82</v>
      </c>
      <c r="N458" s="585">
        <f>N456</f>
        <v>215</v>
      </c>
      <c r="O458" s="587">
        <f>O456</f>
        <v>1296</v>
      </c>
      <c r="P458" s="589">
        <f>P456</f>
        <v>100</v>
      </c>
      <c r="Q458" s="591">
        <f>ROUNDDOWN(N458*O458*((185-P458)/100),2)</f>
        <v>236844</v>
      </c>
      <c r="R458" s="201" t="s">
        <v>108</v>
      </c>
      <c r="S458" s="180">
        <v>14184</v>
      </c>
      <c r="T458" s="180"/>
      <c r="U458" s="131">
        <f>U456</f>
        <v>19.02</v>
      </c>
      <c r="V458" s="102">
        <f t="shared" si="268"/>
        <v>269779.68</v>
      </c>
      <c r="W458" s="593">
        <f>ROUNDDOWN(V458+Q458+V459,2)</f>
        <v>586923.18000000005</v>
      </c>
      <c r="X458" s="89"/>
      <c r="Y458" s="583" t="s">
        <v>82</v>
      </c>
      <c r="Z458" s="585">
        <f>Z456</f>
        <v>215</v>
      </c>
      <c r="AA458" s="587">
        <f>AA456</f>
        <v>1296</v>
      </c>
      <c r="AB458" s="589">
        <f>AB456</f>
        <v>100</v>
      </c>
      <c r="AC458" s="591">
        <f>ROUNDDOWN(Z458*AA458*((185-AB458)/100),2)</f>
        <v>236844</v>
      </c>
      <c r="AD458" s="201" t="s">
        <v>108</v>
      </c>
      <c r="AE458" s="180">
        <v>14184</v>
      </c>
      <c r="AF458" s="180"/>
      <c r="AG458" s="131">
        <f>AG456</f>
        <v>19.02</v>
      </c>
      <c r="AH458" s="102">
        <f t="shared" si="269"/>
        <v>269779.68</v>
      </c>
      <c r="AI458" s="593">
        <f>ROUNDDOWN(AH458+AC458+AH459,2)</f>
        <v>586923.18000000005</v>
      </c>
    </row>
    <row r="459" spans="1:35" ht="19.5" customHeight="1" thickBot="1" x14ac:dyDescent="0.2">
      <c r="A459" s="789"/>
      <c r="B459" s="801"/>
      <c r="C459" s="800"/>
      <c r="D459" s="801"/>
      <c r="E459" s="802"/>
      <c r="F459" s="318" t="s">
        <v>109</v>
      </c>
      <c r="G459" s="319">
        <v>6834</v>
      </c>
      <c r="H459" s="320"/>
      <c r="I459" s="321">
        <f>I457</f>
        <v>9.4600000000000009</v>
      </c>
      <c r="J459" s="322">
        <f t="shared" si="267"/>
        <v>64649.64</v>
      </c>
      <c r="K459" s="802"/>
      <c r="L459" s="89"/>
      <c r="M459" s="601"/>
      <c r="N459" s="586"/>
      <c r="O459" s="588"/>
      <c r="P459" s="590"/>
      <c r="Q459" s="592"/>
      <c r="R459" s="204" t="s">
        <v>109</v>
      </c>
      <c r="S459" s="205">
        <v>6834</v>
      </c>
      <c r="T459" s="205"/>
      <c r="U459" s="133">
        <f>U457</f>
        <v>11.75</v>
      </c>
      <c r="V459" s="103">
        <f t="shared" si="268"/>
        <v>80299.5</v>
      </c>
      <c r="W459" s="594"/>
      <c r="X459" s="89"/>
      <c r="Y459" s="601"/>
      <c r="Z459" s="586"/>
      <c r="AA459" s="588"/>
      <c r="AB459" s="590"/>
      <c r="AC459" s="592"/>
      <c r="AD459" s="204" t="s">
        <v>109</v>
      </c>
      <c r="AE459" s="205">
        <v>6834</v>
      </c>
      <c r="AF459" s="205"/>
      <c r="AG459" s="133">
        <f>AG457</f>
        <v>11.75</v>
      </c>
      <c r="AH459" s="103">
        <f t="shared" si="269"/>
        <v>80299.5</v>
      </c>
      <c r="AI459" s="594"/>
    </row>
    <row r="460" spans="1:35" ht="30" customHeight="1" thickBot="1" x14ac:dyDescent="0.2">
      <c r="A460" s="251" t="s">
        <v>41</v>
      </c>
      <c r="B460" s="245"/>
      <c r="C460" s="245"/>
      <c r="D460" s="245"/>
      <c r="E460" s="246">
        <f>SUM(E436:E459)</f>
        <v>4405298.4000000013</v>
      </c>
      <c r="F460" s="323"/>
      <c r="G460" s="248">
        <f>SUM(G436:G459)</f>
        <v>346397</v>
      </c>
      <c r="H460" s="248">
        <f>SUM(H436:H459)</f>
        <v>346397</v>
      </c>
      <c r="I460" s="245"/>
      <c r="J460" s="246">
        <f>SUM(J436:J459)</f>
        <v>4191632.0599999996</v>
      </c>
      <c r="K460" s="249">
        <f>SUM(K436:K459)</f>
        <v>8596930.4600000009</v>
      </c>
      <c r="L460" s="89" t="s">
        <v>113</v>
      </c>
      <c r="M460" s="164" t="s">
        <v>41</v>
      </c>
      <c r="N460" s="157"/>
      <c r="O460" s="157"/>
      <c r="P460" s="157"/>
      <c r="Q460" s="158">
        <f>SUM(Q436:Q459)</f>
        <v>2842128</v>
      </c>
      <c r="R460" s="206"/>
      <c r="S460" s="160">
        <f>SUM(S436:S459)</f>
        <v>346397</v>
      </c>
      <c r="T460" s="160"/>
      <c r="U460" s="157"/>
      <c r="V460" s="158">
        <f>SUM(V436:V459)</f>
        <v>5953048.419999999</v>
      </c>
      <c r="W460" s="161">
        <f>SUM(W436:W459)</f>
        <v>8795176.4199999999</v>
      </c>
      <c r="X460" s="89" t="s">
        <v>113</v>
      </c>
      <c r="Y460" s="164" t="s">
        <v>41</v>
      </c>
      <c r="Z460" s="157"/>
      <c r="AA460" s="157"/>
      <c r="AB460" s="157"/>
      <c r="AC460" s="158">
        <f>SUM(AC436:AC459)</f>
        <v>2842128</v>
      </c>
      <c r="AD460" s="206"/>
      <c r="AE460" s="160">
        <f>SUM(AE436:AE459)</f>
        <v>346397</v>
      </c>
      <c r="AF460" s="160"/>
      <c r="AG460" s="157"/>
      <c r="AH460" s="158">
        <f>SUM(AH436:AH459)</f>
        <v>5953048.419999999</v>
      </c>
      <c r="AI460" s="161">
        <f>SUM(AI436:AI459)</f>
        <v>8795176.4199999999</v>
      </c>
    </row>
    <row r="461" spans="1:35" ht="15" customHeight="1" x14ac:dyDescent="0.15">
      <c r="A461" s="214"/>
      <c r="B461" s="250"/>
      <c r="C461" s="250"/>
      <c r="D461" s="250"/>
      <c r="E461" s="250"/>
      <c r="F461" s="250"/>
      <c r="G461" s="250"/>
      <c r="H461" s="250"/>
      <c r="I461" s="250"/>
      <c r="J461" s="250"/>
      <c r="K461" s="250"/>
      <c r="L461" s="89"/>
      <c r="N461" s="162"/>
      <c r="O461" s="162"/>
      <c r="P461" s="162"/>
      <c r="Q461" s="162"/>
      <c r="R461" s="162"/>
      <c r="S461" s="162"/>
      <c r="T461" s="162"/>
      <c r="U461" s="162"/>
      <c r="V461" s="162"/>
      <c r="W461" s="162"/>
      <c r="X461" s="89"/>
      <c r="Z461" s="162"/>
      <c r="AA461" s="162"/>
      <c r="AB461" s="162"/>
      <c r="AC461" s="162"/>
      <c r="AD461" s="162"/>
      <c r="AE461" s="162"/>
      <c r="AF461" s="162"/>
      <c r="AG461" s="162"/>
      <c r="AH461" s="162"/>
      <c r="AI461" s="162"/>
    </row>
    <row r="462" spans="1:35" x14ac:dyDescent="0.15">
      <c r="A462" s="211" t="s">
        <v>153</v>
      </c>
      <c r="B462" s="212">
        <f>B425+1</f>
        <v>17</v>
      </c>
      <c r="C462" s="213"/>
      <c r="D462" s="213"/>
      <c r="E462" s="213"/>
      <c r="F462" s="213"/>
      <c r="G462" s="213"/>
      <c r="H462" s="213"/>
      <c r="I462" s="213"/>
      <c r="J462" s="213"/>
      <c r="K462" s="692" t="str">
        <f>IF(K497-W497&lt;=0,"現状のまま","メニュー変更")</f>
        <v>現状のまま</v>
      </c>
      <c r="L462" s="2"/>
      <c r="M462" s="47" t="s">
        <v>153</v>
      </c>
      <c r="N462" s="62">
        <f>N425+1</f>
        <v>17</v>
      </c>
      <c r="X462" s="2"/>
      <c r="Y462" s="47" t="s">
        <v>153</v>
      </c>
      <c r="Z462" s="62" t="e">
        <f>Z425+1</f>
        <v>#REF!</v>
      </c>
    </row>
    <row r="463" spans="1:35" x14ac:dyDescent="0.15">
      <c r="A463" s="214"/>
      <c r="B463" s="213"/>
      <c r="C463" s="213"/>
      <c r="D463" s="213"/>
      <c r="E463" s="213"/>
      <c r="F463" s="213"/>
      <c r="G463" s="213"/>
      <c r="H463" s="213"/>
      <c r="I463" s="213"/>
      <c r="J463" s="213"/>
      <c r="K463" s="692"/>
      <c r="L463" s="2"/>
      <c r="X463" s="2"/>
    </row>
    <row r="464" spans="1:35" x14ac:dyDescent="0.15">
      <c r="A464" s="214"/>
      <c r="B464" s="213"/>
      <c r="C464" s="213"/>
      <c r="D464" s="213"/>
      <c r="E464" s="213"/>
      <c r="F464" s="213"/>
      <c r="G464" s="213"/>
      <c r="H464" s="213"/>
      <c r="I464" s="213"/>
      <c r="J464" s="213"/>
      <c r="K464" s="692"/>
      <c r="L464" s="2"/>
      <c r="X464" s="2"/>
    </row>
    <row r="465" spans="1:35" ht="17.25" x14ac:dyDescent="0.15">
      <c r="A465" s="694" t="str">
        <f>$A$5</f>
        <v>平成29年度小郡市役所庁舎外25施設電力需給</v>
      </c>
      <c r="B465" s="694"/>
      <c r="C465" s="694"/>
      <c r="D465" s="694"/>
      <c r="E465" s="694"/>
      <c r="F465" s="694"/>
      <c r="G465" s="694"/>
      <c r="H465" s="694"/>
      <c r="I465" s="694"/>
      <c r="J465" s="694"/>
      <c r="K465" s="694"/>
      <c r="L465" s="2"/>
      <c r="M465" s="553" t="str">
        <f>$A$5</f>
        <v>平成29年度小郡市役所庁舎外25施設電力需給</v>
      </c>
      <c r="N465" s="553"/>
      <c r="O465" s="553"/>
      <c r="P465" s="553"/>
      <c r="Q465" s="553"/>
      <c r="R465" s="553"/>
      <c r="S465" s="553"/>
      <c r="T465" s="553"/>
      <c r="U465" s="553"/>
      <c r="V465" s="553"/>
      <c r="W465" s="553"/>
      <c r="X465" s="2"/>
      <c r="Y465" s="553" t="str">
        <f>$A$5</f>
        <v>平成29年度小郡市役所庁舎外25施設電力需給</v>
      </c>
      <c r="Z465" s="553"/>
      <c r="AA465" s="553"/>
      <c r="AB465" s="553"/>
      <c r="AC465" s="553"/>
      <c r="AD465" s="553"/>
      <c r="AE465" s="553"/>
      <c r="AF465" s="553"/>
      <c r="AG465" s="553"/>
      <c r="AH465" s="553"/>
      <c r="AI465" s="553"/>
    </row>
    <row r="466" spans="1:35" x14ac:dyDescent="0.15">
      <c r="A466" s="689" t="str">
        <f>$A$6</f>
        <v>（平成３０年１月～平成３０年１２月期間中の予定金額）</v>
      </c>
      <c r="B466" s="689"/>
      <c r="C466" s="689"/>
      <c r="D466" s="689"/>
      <c r="E466" s="689"/>
      <c r="F466" s="689"/>
      <c r="G466" s="689"/>
      <c r="H466" s="689"/>
      <c r="I466" s="689"/>
      <c r="J466" s="689"/>
      <c r="K466" s="689"/>
      <c r="L466" s="2"/>
      <c r="M466" s="555" t="str">
        <f>$A$6</f>
        <v>（平成３０年１月～平成３０年１２月期間中の予定金額）</v>
      </c>
      <c r="N466" s="555"/>
      <c r="O466" s="555"/>
      <c r="P466" s="555"/>
      <c r="Q466" s="555"/>
      <c r="R466" s="555"/>
      <c r="S466" s="555"/>
      <c r="T466" s="555"/>
      <c r="U466" s="555"/>
      <c r="V466" s="555"/>
      <c r="W466" s="555"/>
      <c r="X466" s="2"/>
      <c r="Y466" s="555" t="str">
        <f>$A$6</f>
        <v>（平成３０年１月～平成３０年１２月期間中の予定金額）</v>
      </c>
      <c r="Z466" s="555"/>
      <c r="AA466" s="555"/>
      <c r="AB466" s="555"/>
      <c r="AC466" s="555"/>
      <c r="AD466" s="555"/>
      <c r="AE466" s="555"/>
      <c r="AF466" s="555"/>
      <c r="AG466" s="555"/>
      <c r="AH466" s="555"/>
      <c r="AI466" s="555"/>
    </row>
    <row r="467" spans="1:35" ht="14.25" thickBot="1" x14ac:dyDescent="0.2">
      <c r="A467" s="324" t="s">
        <v>119</v>
      </c>
      <c r="B467" s="324"/>
      <c r="C467" s="213"/>
      <c r="D467" s="213"/>
      <c r="E467" s="213"/>
      <c r="F467" s="213"/>
      <c r="G467" s="213"/>
      <c r="H467" s="213"/>
      <c r="I467" s="213"/>
      <c r="J467" s="213"/>
      <c r="K467" s="211" t="s">
        <v>141</v>
      </c>
      <c r="L467" s="2"/>
      <c r="M467" s="207" t="s">
        <v>119</v>
      </c>
      <c r="N467" s="207"/>
      <c r="W467" s="47" t="s">
        <v>140</v>
      </c>
      <c r="X467" s="2"/>
      <c r="Y467" s="207" t="s">
        <v>119</v>
      </c>
      <c r="Z467" s="207"/>
      <c r="AI467" s="47" t="s">
        <v>140</v>
      </c>
    </row>
    <row r="468" spans="1:35" ht="18" customHeight="1" thickBot="1" x14ac:dyDescent="0.2">
      <c r="A468" s="803" t="s">
        <v>33</v>
      </c>
      <c r="B468" s="683" t="s">
        <v>24</v>
      </c>
      <c r="C468" s="684"/>
      <c r="D468" s="684"/>
      <c r="E468" s="685"/>
      <c r="F468" s="686" t="s">
        <v>34</v>
      </c>
      <c r="G468" s="687"/>
      <c r="H468" s="687"/>
      <c r="I468" s="687"/>
      <c r="J468" s="688"/>
      <c r="K468" s="667" t="s">
        <v>35</v>
      </c>
      <c r="L468" s="2"/>
      <c r="M468" s="610" t="s">
        <v>33</v>
      </c>
      <c r="N468" s="570" t="s">
        <v>24</v>
      </c>
      <c r="O468" s="571"/>
      <c r="P468" s="571"/>
      <c r="Q468" s="572"/>
      <c r="R468" s="573" t="s">
        <v>34</v>
      </c>
      <c r="S468" s="574"/>
      <c r="T468" s="574"/>
      <c r="U468" s="574"/>
      <c r="V468" s="575"/>
      <c r="W468" s="544" t="s">
        <v>35</v>
      </c>
      <c r="X468" s="2"/>
      <c r="Y468" s="610" t="s">
        <v>33</v>
      </c>
      <c r="Z468" s="570" t="s">
        <v>24</v>
      </c>
      <c r="AA468" s="571"/>
      <c r="AB468" s="571"/>
      <c r="AC468" s="572"/>
      <c r="AD468" s="573" t="s">
        <v>34</v>
      </c>
      <c r="AE468" s="574"/>
      <c r="AF468" s="574"/>
      <c r="AG468" s="574"/>
      <c r="AH468" s="575"/>
      <c r="AI468" s="544" t="s">
        <v>35</v>
      </c>
    </row>
    <row r="469" spans="1:35" ht="13.5" customHeight="1" x14ac:dyDescent="0.15">
      <c r="A469" s="804"/>
      <c r="B469" s="669" t="s">
        <v>28</v>
      </c>
      <c r="C469" s="667" t="s">
        <v>29</v>
      </c>
      <c r="D469" s="669" t="s">
        <v>25</v>
      </c>
      <c r="E469" s="678" t="s">
        <v>31</v>
      </c>
      <c r="F469" s="679" t="s">
        <v>36</v>
      </c>
      <c r="G469" s="680"/>
      <c r="H469" s="216"/>
      <c r="I469" s="667" t="s">
        <v>37</v>
      </c>
      <c r="J469" s="669" t="s">
        <v>38</v>
      </c>
      <c r="K469" s="668"/>
      <c r="L469" s="2"/>
      <c r="M469" s="611"/>
      <c r="N469" s="546" t="s">
        <v>28</v>
      </c>
      <c r="O469" s="544" t="s">
        <v>29</v>
      </c>
      <c r="P469" s="546" t="s">
        <v>25</v>
      </c>
      <c r="Q469" s="582" t="s">
        <v>31</v>
      </c>
      <c r="R469" s="540" t="s">
        <v>36</v>
      </c>
      <c r="S469" s="541"/>
      <c r="T469" s="135"/>
      <c r="U469" s="544" t="s">
        <v>37</v>
      </c>
      <c r="V469" s="546" t="s">
        <v>38</v>
      </c>
      <c r="W469" s="545"/>
      <c r="X469" s="2"/>
      <c r="Y469" s="611"/>
      <c r="Z469" s="546" t="s">
        <v>28</v>
      </c>
      <c r="AA469" s="544" t="s">
        <v>29</v>
      </c>
      <c r="AB469" s="546" t="s">
        <v>25</v>
      </c>
      <c r="AC469" s="582" t="s">
        <v>31</v>
      </c>
      <c r="AD469" s="540" t="s">
        <v>36</v>
      </c>
      <c r="AE469" s="541"/>
      <c r="AF469" s="135"/>
      <c r="AG469" s="544" t="s">
        <v>37</v>
      </c>
      <c r="AH469" s="546" t="s">
        <v>38</v>
      </c>
      <c r="AI469" s="545"/>
    </row>
    <row r="470" spans="1:35" x14ac:dyDescent="0.15">
      <c r="A470" s="804"/>
      <c r="B470" s="669"/>
      <c r="C470" s="668"/>
      <c r="D470" s="669"/>
      <c r="E470" s="669"/>
      <c r="F470" s="681"/>
      <c r="G470" s="682"/>
      <c r="H470" s="217"/>
      <c r="I470" s="668"/>
      <c r="J470" s="669"/>
      <c r="K470" s="668"/>
      <c r="L470" s="2"/>
      <c r="M470" s="611"/>
      <c r="N470" s="546"/>
      <c r="O470" s="545"/>
      <c r="P470" s="546"/>
      <c r="Q470" s="546"/>
      <c r="R470" s="542"/>
      <c r="S470" s="543"/>
      <c r="T470" s="136"/>
      <c r="U470" s="545"/>
      <c r="V470" s="546"/>
      <c r="W470" s="545"/>
      <c r="X470" s="2"/>
      <c r="Y470" s="611"/>
      <c r="Z470" s="546"/>
      <c r="AA470" s="545"/>
      <c r="AB470" s="546"/>
      <c r="AC470" s="546"/>
      <c r="AD470" s="542"/>
      <c r="AE470" s="543"/>
      <c r="AF470" s="136"/>
      <c r="AG470" s="545"/>
      <c r="AH470" s="546"/>
      <c r="AI470" s="545"/>
    </row>
    <row r="471" spans="1:35" ht="23.25" customHeight="1" x14ac:dyDescent="0.15">
      <c r="A471" s="804"/>
      <c r="B471" s="218" t="s">
        <v>13</v>
      </c>
      <c r="C471" s="219" t="s">
        <v>30</v>
      </c>
      <c r="D471" s="218" t="s">
        <v>14</v>
      </c>
      <c r="E471" s="218" t="s">
        <v>40</v>
      </c>
      <c r="F471" s="665" t="s">
        <v>15</v>
      </c>
      <c r="G471" s="666"/>
      <c r="H471" s="220"/>
      <c r="I471" s="219" t="s">
        <v>30</v>
      </c>
      <c r="J471" s="218" t="s">
        <v>40</v>
      </c>
      <c r="K471" s="218" t="s">
        <v>40</v>
      </c>
      <c r="L471" s="2"/>
      <c r="M471" s="611"/>
      <c r="N471" s="137" t="s">
        <v>152</v>
      </c>
      <c r="O471" s="138" t="s">
        <v>30</v>
      </c>
      <c r="P471" s="137" t="s">
        <v>14</v>
      </c>
      <c r="Q471" s="137" t="s">
        <v>40</v>
      </c>
      <c r="R471" s="549" t="s">
        <v>15</v>
      </c>
      <c r="S471" s="550"/>
      <c r="T471" s="139"/>
      <c r="U471" s="138" t="s">
        <v>30</v>
      </c>
      <c r="V471" s="137" t="s">
        <v>40</v>
      </c>
      <c r="W471" s="137" t="s">
        <v>40</v>
      </c>
      <c r="X471" s="2"/>
      <c r="Y471" s="611"/>
      <c r="Z471" s="137" t="s">
        <v>152</v>
      </c>
      <c r="AA471" s="138" t="s">
        <v>30</v>
      </c>
      <c r="AB471" s="137" t="s">
        <v>14</v>
      </c>
      <c r="AC471" s="137" t="s">
        <v>40</v>
      </c>
      <c r="AD471" s="549" t="s">
        <v>15</v>
      </c>
      <c r="AE471" s="550"/>
      <c r="AF471" s="139"/>
      <c r="AG471" s="138" t="s">
        <v>30</v>
      </c>
      <c r="AH471" s="137" t="s">
        <v>40</v>
      </c>
      <c r="AI471" s="137" t="s">
        <v>40</v>
      </c>
    </row>
    <row r="472" spans="1:35" ht="15.75" customHeight="1" thickBot="1" x14ac:dyDescent="0.2">
      <c r="A472" s="804"/>
      <c r="B472" s="221" t="s">
        <v>16</v>
      </c>
      <c r="C472" s="221" t="s">
        <v>17</v>
      </c>
      <c r="D472" s="221" t="s">
        <v>18</v>
      </c>
      <c r="E472" s="221" t="s">
        <v>19</v>
      </c>
      <c r="F472" s="222"/>
      <c r="G472" s="223" t="s">
        <v>20</v>
      </c>
      <c r="H472" s="223"/>
      <c r="I472" s="221" t="s">
        <v>21</v>
      </c>
      <c r="J472" s="221" t="s">
        <v>22</v>
      </c>
      <c r="K472" s="223" t="s">
        <v>23</v>
      </c>
      <c r="L472" s="2"/>
      <c r="M472" s="611"/>
      <c r="N472" s="122" t="s">
        <v>16</v>
      </c>
      <c r="O472" s="122" t="s">
        <v>17</v>
      </c>
      <c r="P472" s="122" t="s">
        <v>18</v>
      </c>
      <c r="Q472" s="122" t="s">
        <v>19</v>
      </c>
      <c r="R472" s="140"/>
      <c r="S472" s="141" t="s">
        <v>20</v>
      </c>
      <c r="T472" s="141"/>
      <c r="U472" s="122" t="s">
        <v>21</v>
      </c>
      <c r="V472" s="122" t="s">
        <v>22</v>
      </c>
      <c r="W472" s="141" t="s">
        <v>23</v>
      </c>
      <c r="X472" s="2"/>
      <c r="Y472" s="611"/>
      <c r="Z472" s="122" t="s">
        <v>16</v>
      </c>
      <c r="AA472" s="122" t="s">
        <v>17</v>
      </c>
      <c r="AB472" s="122" t="s">
        <v>18</v>
      </c>
      <c r="AC472" s="122" t="s">
        <v>19</v>
      </c>
      <c r="AD472" s="140"/>
      <c r="AE472" s="141" t="s">
        <v>20</v>
      </c>
      <c r="AF472" s="141"/>
      <c r="AG472" s="122" t="s">
        <v>21</v>
      </c>
      <c r="AH472" s="122" t="s">
        <v>22</v>
      </c>
      <c r="AI472" s="141" t="s">
        <v>23</v>
      </c>
    </row>
    <row r="473" spans="1:35" ht="19.5" customHeight="1" x14ac:dyDescent="0.15">
      <c r="A473" s="805" t="s">
        <v>86</v>
      </c>
      <c r="B473" s="790">
        <v>389</v>
      </c>
      <c r="C473" s="797">
        <v>1296</v>
      </c>
      <c r="D473" s="790">
        <v>100</v>
      </c>
      <c r="E473" s="799">
        <f>ROUNDDOWN(B473*C473*((185-D473)/100),2)</f>
        <v>428522.4</v>
      </c>
      <c r="F473" s="308" t="s">
        <v>108</v>
      </c>
      <c r="G473" s="295">
        <f>ROUNDDOWN(H473*0.6,0)</f>
        <v>19168</v>
      </c>
      <c r="H473" s="309">
        <v>31948</v>
      </c>
      <c r="I473" s="296">
        <f>18.96+0.06</f>
        <v>19.02</v>
      </c>
      <c r="J473" s="297">
        <f t="shared" ref="J473:J496" si="273">ROUNDDOWN(G473*I473,2)</f>
        <v>364575.36</v>
      </c>
      <c r="K473" s="786">
        <f>ROUNDDOWN(J473+E473+J474,2)</f>
        <v>943262.76</v>
      </c>
      <c r="L473" s="2"/>
      <c r="M473" s="602" t="s">
        <v>86</v>
      </c>
      <c r="N473" s="603">
        <v>389</v>
      </c>
      <c r="O473" s="605">
        <v>2008.8</v>
      </c>
      <c r="P473" s="607">
        <v>100</v>
      </c>
      <c r="Q473" s="609">
        <f>ROUNDDOWN(N473*O436*((185-P473)/100),2)</f>
        <v>428522.4</v>
      </c>
      <c r="R473" s="196" t="s">
        <v>108</v>
      </c>
      <c r="S473" s="169">
        <f>ROUNDDOWN(T473*0.6,0)</f>
        <v>19168</v>
      </c>
      <c r="T473" s="197">
        <v>31948</v>
      </c>
      <c r="U473" s="128">
        <v>12.88</v>
      </c>
      <c r="V473" s="100">
        <f t="shared" ref="V473:V496" si="274">ROUNDDOWN(S473*U473,2)</f>
        <v>246883.84</v>
      </c>
      <c r="W473" s="593">
        <f>ROUNDDOWN(V473+Q473+V474,2)</f>
        <v>796305.04</v>
      </c>
      <c r="X473" s="2"/>
      <c r="Y473" s="602" t="s">
        <v>86</v>
      </c>
      <c r="Z473" s="603">
        <v>389</v>
      </c>
      <c r="AA473" s="605">
        <v>2008.8</v>
      </c>
      <c r="AB473" s="607">
        <v>100</v>
      </c>
      <c r="AC473" s="609">
        <f>ROUNDDOWN(Z473*AA436*((185-AB473)/100),2)</f>
        <v>428522.4</v>
      </c>
      <c r="AD473" s="196" t="s">
        <v>108</v>
      </c>
      <c r="AE473" s="169">
        <f>ROUNDDOWN(AF473*0.6,0)</f>
        <v>19168</v>
      </c>
      <c r="AF473" s="197">
        <v>31948</v>
      </c>
      <c r="AG473" s="128">
        <v>12.88</v>
      </c>
      <c r="AH473" s="100">
        <f t="shared" ref="AH473:AH496" si="275">ROUNDDOWN(AE473*AG473,2)</f>
        <v>246883.84</v>
      </c>
      <c r="AI473" s="593">
        <f>ROUNDDOWN(AH473+AC473+AH474,2)</f>
        <v>796305.04</v>
      </c>
    </row>
    <row r="474" spans="1:35" ht="19.5" customHeight="1" x14ac:dyDescent="0.15">
      <c r="A474" s="806"/>
      <c r="B474" s="791"/>
      <c r="C474" s="798"/>
      <c r="D474" s="791"/>
      <c r="E474" s="787"/>
      <c r="F474" s="310" t="s">
        <v>109</v>
      </c>
      <c r="G474" s="311">
        <f>H473-G473</f>
        <v>12780</v>
      </c>
      <c r="H474" s="312"/>
      <c r="I474" s="299">
        <f>11.69+0.06</f>
        <v>11.75</v>
      </c>
      <c r="J474" s="300">
        <f t="shared" si="273"/>
        <v>150165</v>
      </c>
      <c r="K474" s="787"/>
      <c r="L474" s="2"/>
      <c r="M474" s="595"/>
      <c r="N474" s="604"/>
      <c r="O474" s="606"/>
      <c r="P474" s="608"/>
      <c r="Q474" s="599"/>
      <c r="R474" s="198" t="s">
        <v>109</v>
      </c>
      <c r="S474" s="199">
        <f>T473-S473</f>
        <v>12780</v>
      </c>
      <c r="T474" s="200"/>
      <c r="U474" s="129">
        <v>9.4600000000000009</v>
      </c>
      <c r="V474" s="101">
        <f t="shared" si="274"/>
        <v>120898.8</v>
      </c>
      <c r="W474" s="600"/>
      <c r="X474" s="2"/>
      <c r="Y474" s="595"/>
      <c r="Z474" s="604"/>
      <c r="AA474" s="606"/>
      <c r="AB474" s="608"/>
      <c r="AC474" s="599"/>
      <c r="AD474" s="198" t="s">
        <v>109</v>
      </c>
      <c r="AE474" s="199">
        <f>AF473-AE473</f>
        <v>12780</v>
      </c>
      <c r="AF474" s="200"/>
      <c r="AG474" s="129">
        <v>9.4600000000000009</v>
      </c>
      <c r="AH474" s="101">
        <f t="shared" si="275"/>
        <v>120898.8</v>
      </c>
      <c r="AI474" s="600"/>
    </row>
    <row r="475" spans="1:35" ht="19.5" customHeight="1" x14ac:dyDescent="0.15">
      <c r="A475" s="792" t="s">
        <v>87</v>
      </c>
      <c r="B475" s="793">
        <f>B473</f>
        <v>389</v>
      </c>
      <c r="C475" s="795">
        <f>C473</f>
        <v>1296</v>
      </c>
      <c r="D475" s="793">
        <f>D473</f>
        <v>100</v>
      </c>
      <c r="E475" s="786">
        <f>ROUNDDOWN(B475*C475*((185-D475)/100),2)</f>
        <v>428522.4</v>
      </c>
      <c r="F475" s="313" t="s">
        <v>108</v>
      </c>
      <c r="G475" s="314">
        <f>ROUNDDOWN(H475*0.6,0)</f>
        <v>18624</v>
      </c>
      <c r="H475" s="325">
        <v>31041</v>
      </c>
      <c r="I475" s="316">
        <f t="shared" ref="I475:I484" si="276">I473</f>
        <v>19.02</v>
      </c>
      <c r="J475" s="302">
        <f t="shared" si="273"/>
        <v>354228.47999999998</v>
      </c>
      <c r="K475" s="786">
        <f>ROUNDDOWN(J475+E475+J476,2)</f>
        <v>928650.63</v>
      </c>
      <c r="L475" s="2"/>
      <c r="M475" s="583" t="s">
        <v>87</v>
      </c>
      <c r="N475" s="585">
        <f>N473</f>
        <v>389</v>
      </c>
      <c r="O475" s="587">
        <f>O473</f>
        <v>2008.8</v>
      </c>
      <c r="P475" s="589">
        <f>P473</f>
        <v>100</v>
      </c>
      <c r="Q475" s="591">
        <f>ROUNDDOWN(N475*O475*((185-P475)/100),2)</f>
        <v>664209.72</v>
      </c>
      <c r="R475" s="201" t="s">
        <v>108</v>
      </c>
      <c r="S475" s="202">
        <f>ROUNDDOWN(T475*0.6,0)</f>
        <v>18624</v>
      </c>
      <c r="T475" s="208">
        <v>31041</v>
      </c>
      <c r="U475" s="131">
        <f t="shared" ref="U475:U484" si="277">U473</f>
        <v>12.88</v>
      </c>
      <c r="V475" s="102">
        <f t="shared" si="274"/>
        <v>239877.12</v>
      </c>
      <c r="W475" s="593">
        <f>ROUNDDOWN(V475+Q475+V476,2)</f>
        <v>1021551.66</v>
      </c>
      <c r="X475" s="2"/>
      <c r="Y475" s="583" t="s">
        <v>87</v>
      </c>
      <c r="Z475" s="585">
        <f>Z473</f>
        <v>389</v>
      </c>
      <c r="AA475" s="587">
        <f>AA473</f>
        <v>2008.8</v>
      </c>
      <c r="AB475" s="589">
        <f>AB473</f>
        <v>100</v>
      </c>
      <c r="AC475" s="591">
        <f>ROUNDDOWN(Z475*AA475*((185-AB475)/100),2)</f>
        <v>664209.72</v>
      </c>
      <c r="AD475" s="201" t="s">
        <v>108</v>
      </c>
      <c r="AE475" s="202">
        <f>ROUNDDOWN(AF475*0.6,0)</f>
        <v>18624</v>
      </c>
      <c r="AF475" s="208">
        <v>31041</v>
      </c>
      <c r="AG475" s="131">
        <f t="shared" ref="AG475:AG484" si="278">AG473</f>
        <v>12.88</v>
      </c>
      <c r="AH475" s="102">
        <f t="shared" si="275"/>
        <v>239877.12</v>
      </c>
      <c r="AI475" s="593">
        <f>ROUNDDOWN(AH475+AC475+AH476,2)</f>
        <v>1021551.66</v>
      </c>
    </row>
    <row r="476" spans="1:35" ht="19.5" customHeight="1" x14ac:dyDescent="0.15">
      <c r="A476" s="789"/>
      <c r="B476" s="794"/>
      <c r="C476" s="796"/>
      <c r="D476" s="794"/>
      <c r="E476" s="787"/>
      <c r="F476" s="310" t="s">
        <v>109</v>
      </c>
      <c r="G476" s="311">
        <f>H475-G475</f>
        <v>12417</v>
      </c>
      <c r="H476" s="312"/>
      <c r="I476" s="317">
        <f t="shared" si="276"/>
        <v>11.75</v>
      </c>
      <c r="J476" s="300">
        <f t="shared" si="273"/>
        <v>145899.75</v>
      </c>
      <c r="K476" s="787"/>
      <c r="L476" s="2"/>
      <c r="M476" s="601"/>
      <c r="N476" s="596"/>
      <c r="O476" s="597"/>
      <c r="P476" s="598"/>
      <c r="Q476" s="599"/>
      <c r="R476" s="198" t="s">
        <v>109</v>
      </c>
      <c r="S476" s="199">
        <f>T475-S475</f>
        <v>12417</v>
      </c>
      <c r="T476" s="200"/>
      <c r="U476" s="132">
        <f t="shared" si="277"/>
        <v>9.4600000000000009</v>
      </c>
      <c r="V476" s="101">
        <f t="shared" si="274"/>
        <v>117464.82</v>
      </c>
      <c r="W476" s="600"/>
      <c r="X476" s="2"/>
      <c r="Y476" s="601"/>
      <c r="Z476" s="596"/>
      <c r="AA476" s="597"/>
      <c r="AB476" s="598"/>
      <c r="AC476" s="599"/>
      <c r="AD476" s="198" t="s">
        <v>109</v>
      </c>
      <c r="AE476" s="199">
        <f>AF475-AE475</f>
        <v>12417</v>
      </c>
      <c r="AF476" s="200"/>
      <c r="AG476" s="132">
        <f t="shared" si="278"/>
        <v>9.4600000000000009</v>
      </c>
      <c r="AH476" s="101">
        <f t="shared" si="275"/>
        <v>117464.82</v>
      </c>
      <c r="AI476" s="600"/>
    </row>
    <row r="477" spans="1:35" ht="19.5" customHeight="1" x14ac:dyDescent="0.15">
      <c r="A477" s="792" t="s">
        <v>88</v>
      </c>
      <c r="B477" s="793">
        <f>B475</f>
        <v>389</v>
      </c>
      <c r="C477" s="795">
        <f>C475</f>
        <v>1296</v>
      </c>
      <c r="D477" s="793">
        <f>D475</f>
        <v>100</v>
      </c>
      <c r="E477" s="786">
        <f>ROUNDDOWN(B477*C477*((185-D477)/100),2)</f>
        <v>428522.4</v>
      </c>
      <c r="F477" s="313" t="s">
        <v>108</v>
      </c>
      <c r="G477" s="314">
        <f>ROUNDDOWN(H477*0.6,0)</f>
        <v>17866</v>
      </c>
      <c r="H477" s="325">
        <v>29777</v>
      </c>
      <c r="I477" s="316">
        <f t="shared" si="276"/>
        <v>19.02</v>
      </c>
      <c r="J477" s="302">
        <f t="shared" si="273"/>
        <v>339811.32</v>
      </c>
      <c r="K477" s="786">
        <f>ROUNDDOWN(J477+E477+J478,2)</f>
        <v>908287.97</v>
      </c>
      <c r="L477" s="2"/>
      <c r="M477" s="583" t="s">
        <v>88</v>
      </c>
      <c r="N477" s="585">
        <f>N475</f>
        <v>389</v>
      </c>
      <c r="O477" s="587">
        <f>O475</f>
        <v>2008.8</v>
      </c>
      <c r="P477" s="589">
        <f>P475</f>
        <v>100</v>
      </c>
      <c r="Q477" s="591">
        <f>ROUNDDOWN(N477*O477*((185-P477)/100),2)</f>
        <v>664209.72</v>
      </c>
      <c r="R477" s="201" t="s">
        <v>108</v>
      </c>
      <c r="S477" s="202">
        <f>ROUNDDOWN(T477*0.6,0)</f>
        <v>17866</v>
      </c>
      <c r="T477" s="208">
        <v>29777</v>
      </c>
      <c r="U477" s="131">
        <f t="shared" si="277"/>
        <v>12.88</v>
      </c>
      <c r="V477" s="102">
        <f t="shared" si="274"/>
        <v>230114.08</v>
      </c>
      <c r="W477" s="593">
        <f>ROUNDDOWN(V477+Q477+V478,2)</f>
        <v>1007001.86</v>
      </c>
      <c r="X477" s="2"/>
      <c r="Y477" s="583" t="s">
        <v>88</v>
      </c>
      <c r="Z477" s="585">
        <f>Z475</f>
        <v>389</v>
      </c>
      <c r="AA477" s="587">
        <f>AA475</f>
        <v>2008.8</v>
      </c>
      <c r="AB477" s="589">
        <f>AB475</f>
        <v>100</v>
      </c>
      <c r="AC477" s="591">
        <f>ROUNDDOWN(Z477*AA477*((185-AB477)/100),2)</f>
        <v>664209.72</v>
      </c>
      <c r="AD477" s="201" t="s">
        <v>108</v>
      </c>
      <c r="AE477" s="202">
        <f>ROUNDDOWN(AF477*0.6,0)</f>
        <v>17866</v>
      </c>
      <c r="AF477" s="208">
        <v>29777</v>
      </c>
      <c r="AG477" s="131">
        <f t="shared" si="278"/>
        <v>12.88</v>
      </c>
      <c r="AH477" s="102">
        <f t="shared" si="275"/>
        <v>230114.08</v>
      </c>
      <c r="AI477" s="593">
        <f>ROUNDDOWN(AH477+AC477+AH478,2)</f>
        <v>1007001.86</v>
      </c>
    </row>
    <row r="478" spans="1:35" ht="19.5" customHeight="1" x14ac:dyDescent="0.15">
      <c r="A478" s="789"/>
      <c r="B478" s="794"/>
      <c r="C478" s="796"/>
      <c r="D478" s="794"/>
      <c r="E478" s="787"/>
      <c r="F478" s="310" t="s">
        <v>109</v>
      </c>
      <c r="G478" s="311">
        <f>H477-G477</f>
        <v>11911</v>
      </c>
      <c r="H478" s="312"/>
      <c r="I478" s="317">
        <f t="shared" si="276"/>
        <v>11.75</v>
      </c>
      <c r="J478" s="300">
        <f t="shared" si="273"/>
        <v>139954.25</v>
      </c>
      <c r="K478" s="787"/>
      <c r="L478" s="2"/>
      <c r="M478" s="601"/>
      <c r="N478" s="596"/>
      <c r="O478" s="597"/>
      <c r="P478" s="598"/>
      <c r="Q478" s="599"/>
      <c r="R478" s="198" t="s">
        <v>109</v>
      </c>
      <c r="S478" s="199">
        <f>T477-S477</f>
        <v>11911</v>
      </c>
      <c r="T478" s="200"/>
      <c r="U478" s="132">
        <f t="shared" si="277"/>
        <v>9.4600000000000009</v>
      </c>
      <c r="V478" s="101">
        <f t="shared" si="274"/>
        <v>112678.06</v>
      </c>
      <c r="W478" s="600"/>
      <c r="X478" s="2"/>
      <c r="Y478" s="601"/>
      <c r="Z478" s="596"/>
      <c r="AA478" s="597"/>
      <c r="AB478" s="598"/>
      <c r="AC478" s="599"/>
      <c r="AD478" s="198" t="s">
        <v>109</v>
      </c>
      <c r="AE478" s="199">
        <f>AF477-AE477</f>
        <v>11911</v>
      </c>
      <c r="AF478" s="200"/>
      <c r="AG478" s="132">
        <f t="shared" si="278"/>
        <v>9.4600000000000009</v>
      </c>
      <c r="AH478" s="101">
        <f t="shared" si="275"/>
        <v>112678.06</v>
      </c>
      <c r="AI478" s="600"/>
    </row>
    <row r="479" spans="1:35" ht="19.5" customHeight="1" x14ac:dyDescent="0.15">
      <c r="A479" s="792" t="s">
        <v>89</v>
      </c>
      <c r="B479" s="793">
        <f>B477</f>
        <v>389</v>
      </c>
      <c r="C479" s="795">
        <f>C477</f>
        <v>1296</v>
      </c>
      <c r="D479" s="793">
        <f>D477</f>
        <v>100</v>
      </c>
      <c r="E479" s="786">
        <f>ROUNDDOWN(B479*C479*((185-D479)/100),2)</f>
        <v>428522.4</v>
      </c>
      <c r="F479" s="313" t="s">
        <v>108</v>
      </c>
      <c r="G479" s="301">
        <v>8430</v>
      </c>
      <c r="H479" s="315">
        <f>SUM(G479:G480)</f>
        <v>15870</v>
      </c>
      <c r="I479" s="316">
        <f t="shared" si="276"/>
        <v>19.02</v>
      </c>
      <c r="J479" s="302">
        <f t="shared" si="273"/>
        <v>160338.6</v>
      </c>
      <c r="K479" s="786">
        <f>ROUNDDOWN(J479+E479+J480,2)</f>
        <v>676281</v>
      </c>
      <c r="L479" s="2"/>
      <c r="M479" s="583" t="s">
        <v>89</v>
      </c>
      <c r="N479" s="585">
        <f>N477</f>
        <v>389</v>
      </c>
      <c r="O479" s="587">
        <f>O477</f>
        <v>2008.8</v>
      </c>
      <c r="P479" s="589">
        <f>P477</f>
        <v>100</v>
      </c>
      <c r="Q479" s="591">
        <f>ROUNDDOWN(N479*O479*((185-P479)/100),2)</f>
        <v>664209.72</v>
      </c>
      <c r="R479" s="201" t="s">
        <v>108</v>
      </c>
      <c r="S479" s="180">
        <v>8430</v>
      </c>
      <c r="T479" s="180"/>
      <c r="U479" s="131">
        <f t="shared" si="277"/>
        <v>12.88</v>
      </c>
      <c r="V479" s="102">
        <f t="shared" si="274"/>
        <v>108578.4</v>
      </c>
      <c r="W479" s="593">
        <f>ROUNDDOWN(V479+Q479+V480,2)</f>
        <v>843170.52</v>
      </c>
      <c r="X479" s="2"/>
      <c r="Y479" s="583" t="s">
        <v>89</v>
      </c>
      <c r="Z479" s="585">
        <f>Z477</f>
        <v>389</v>
      </c>
      <c r="AA479" s="587">
        <f>AA477</f>
        <v>2008.8</v>
      </c>
      <c r="AB479" s="589">
        <f>AB477</f>
        <v>100</v>
      </c>
      <c r="AC479" s="591">
        <f>ROUNDDOWN(Z479*AA479*((185-AB479)/100),2)</f>
        <v>664209.72</v>
      </c>
      <c r="AD479" s="201" t="s">
        <v>108</v>
      </c>
      <c r="AE479" s="180">
        <v>8430</v>
      </c>
      <c r="AF479" s="180"/>
      <c r="AG479" s="131">
        <f t="shared" si="278"/>
        <v>12.88</v>
      </c>
      <c r="AH479" s="102">
        <f t="shared" si="275"/>
        <v>108578.4</v>
      </c>
      <c r="AI479" s="593">
        <f>ROUNDDOWN(AH479+AC479+AH480,2)</f>
        <v>843170.52</v>
      </c>
    </row>
    <row r="480" spans="1:35" ht="19.5" customHeight="1" x14ac:dyDescent="0.15">
      <c r="A480" s="789"/>
      <c r="B480" s="794"/>
      <c r="C480" s="796"/>
      <c r="D480" s="794"/>
      <c r="E480" s="787"/>
      <c r="F480" s="310" t="s">
        <v>109</v>
      </c>
      <c r="G480" s="298">
        <v>7440</v>
      </c>
      <c r="H480" s="312"/>
      <c r="I480" s="317">
        <f t="shared" si="276"/>
        <v>11.75</v>
      </c>
      <c r="J480" s="300">
        <f t="shared" si="273"/>
        <v>87420</v>
      </c>
      <c r="K480" s="787"/>
      <c r="L480" s="2"/>
      <c r="M480" s="601"/>
      <c r="N480" s="596"/>
      <c r="O480" s="597"/>
      <c r="P480" s="598"/>
      <c r="Q480" s="599"/>
      <c r="R480" s="198" t="s">
        <v>109</v>
      </c>
      <c r="S480" s="177">
        <v>7440</v>
      </c>
      <c r="T480" s="177"/>
      <c r="U480" s="132">
        <f t="shared" si="277"/>
        <v>9.4600000000000009</v>
      </c>
      <c r="V480" s="101">
        <f t="shared" si="274"/>
        <v>70382.399999999994</v>
      </c>
      <c r="W480" s="600"/>
      <c r="X480" s="2"/>
      <c r="Y480" s="601"/>
      <c r="Z480" s="596"/>
      <c r="AA480" s="597"/>
      <c r="AB480" s="598"/>
      <c r="AC480" s="599"/>
      <c r="AD480" s="198" t="s">
        <v>109</v>
      </c>
      <c r="AE480" s="177">
        <v>7440</v>
      </c>
      <c r="AF480" s="177"/>
      <c r="AG480" s="132">
        <f t="shared" si="278"/>
        <v>9.4600000000000009</v>
      </c>
      <c r="AH480" s="101">
        <f t="shared" si="275"/>
        <v>70382.399999999994</v>
      </c>
      <c r="AI480" s="600"/>
    </row>
    <row r="481" spans="1:35" ht="19.5" customHeight="1" x14ac:dyDescent="0.15">
      <c r="A481" s="792" t="s">
        <v>90</v>
      </c>
      <c r="B481" s="793">
        <f>B479</f>
        <v>389</v>
      </c>
      <c r="C481" s="795">
        <f>C479</f>
        <v>1296</v>
      </c>
      <c r="D481" s="793">
        <f>D479</f>
        <v>100</v>
      </c>
      <c r="E481" s="786">
        <f>ROUNDDOWN(B481*C481*((185-D481)/100),2)</f>
        <v>428522.4</v>
      </c>
      <c r="F481" s="313" t="s">
        <v>108</v>
      </c>
      <c r="G481" s="301">
        <v>13314</v>
      </c>
      <c r="H481" s="315">
        <f>SUM(G481:G482)</f>
        <v>20868</v>
      </c>
      <c r="I481" s="316">
        <f t="shared" si="276"/>
        <v>19.02</v>
      </c>
      <c r="J481" s="302">
        <f t="shared" si="273"/>
        <v>253232.28</v>
      </c>
      <c r="K481" s="786">
        <f>ROUNDDOWN(J481+E481+J482,2)</f>
        <v>770514.18</v>
      </c>
      <c r="L481" s="2"/>
      <c r="M481" s="583" t="s">
        <v>90</v>
      </c>
      <c r="N481" s="585">
        <f>N479</f>
        <v>389</v>
      </c>
      <c r="O481" s="587">
        <f>O479</f>
        <v>2008.8</v>
      </c>
      <c r="P481" s="589">
        <f>P479</f>
        <v>100</v>
      </c>
      <c r="Q481" s="591">
        <f>ROUNDDOWN(N481*O481*((185-P481)/100),2)</f>
        <v>664209.72</v>
      </c>
      <c r="R481" s="201" t="s">
        <v>108</v>
      </c>
      <c r="S481" s="180">
        <v>13314</v>
      </c>
      <c r="T481" s="180"/>
      <c r="U481" s="131">
        <f t="shared" si="277"/>
        <v>12.88</v>
      </c>
      <c r="V481" s="102">
        <f t="shared" si="274"/>
        <v>171484.32</v>
      </c>
      <c r="W481" s="593">
        <f>ROUNDDOWN(V481+Q481+V482,2)</f>
        <v>907154.88</v>
      </c>
      <c r="X481" s="2"/>
      <c r="Y481" s="583" t="s">
        <v>90</v>
      </c>
      <c r="Z481" s="585">
        <f>Z479</f>
        <v>389</v>
      </c>
      <c r="AA481" s="587">
        <f>AA479</f>
        <v>2008.8</v>
      </c>
      <c r="AB481" s="589">
        <f>AB479</f>
        <v>100</v>
      </c>
      <c r="AC481" s="591">
        <f>ROUNDDOWN(Z481*AA481*((185-AB481)/100),2)</f>
        <v>664209.72</v>
      </c>
      <c r="AD481" s="201" t="s">
        <v>108</v>
      </c>
      <c r="AE481" s="180">
        <v>13314</v>
      </c>
      <c r="AF481" s="180"/>
      <c r="AG481" s="131">
        <f t="shared" si="278"/>
        <v>12.88</v>
      </c>
      <c r="AH481" s="102">
        <f t="shared" si="275"/>
        <v>171484.32</v>
      </c>
      <c r="AI481" s="593">
        <f>ROUNDDOWN(AH481+AC481+AH482,2)</f>
        <v>907154.88</v>
      </c>
    </row>
    <row r="482" spans="1:35" ht="19.5" customHeight="1" x14ac:dyDescent="0.15">
      <c r="A482" s="789"/>
      <c r="B482" s="794"/>
      <c r="C482" s="796"/>
      <c r="D482" s="794"/>
      <c r="E482" s="787"/>
      <c r="F482" s="310" t="s">
        <v>109</v>
      </c>
      <c r="G482" s="298">
        <v>7554</v>
      </c>
      <c r="H482" s="312"/>
      <c r="I482" s="317">
        <f t="shared" si="276"/>
        <v>11.75</v>
      </c>
      <c r="J482" s="300">
        <f t="shared" si="273"/>
        <v>88759.5</v>
      </c>
      <c r="K482" s="787"/>
      <c r="L482" s="2"/>
      <c r="M482" s="601"/>
      <c r="N482" s="596"/>
      <c r="O482" s="597"/>
      <c r="P482" s="598"/>
      <c r="Q482" s="599"/>
      <c r="R482" s="198" t="s">
        <v>109</v>
      </c>
      <c r="S482" s="177">
        <v>7554</v>
      </c>
      <c r="T482" s="177"/>
      <c r="U482" s="132">
        <f t="shared" si="277"/>
        <v>9.4600000000000009</v>
      </c>
      <c r="V482" s="101">
        <f t="shared" si="274"/>
        <v>71460.84</v>
      </c>
      <c r="W482" s="600"/>
      <c r="X482" s="2"/>
      <c r="Y482" s="601"/>
      <c r="Z482" s="596"/>
      <c r="AA482" s="597"/>
      <c r="AB482" s="598"/>
      <c r="AC482" s="599"/>
      <c r="AD482" s="198" t="s">
        <v>109</v>
      </c>
      <c r="AE482" s="177">
        <v>7554</v>
      </c>
      <c r="AF482" s="177"/>
      <c r="AG482" s="132">
        <f t="shared" si="278"/>
        <v>9.4600000000000009</v>
      </c>
      <c r="AH482" s="101">
        <f t="shared" si="275"/>
        <v>71460.84</v>
      </c>
      <c r="AI482" s="600"/>
    </row>
    <row r="483" spans="1:35" ht="19.5" customHeight="1" x14ac:dyDescent="0.15">
      <c r="A483" s="792" t="s">
        <v>91</v>
      </c>
      <c r="B483" s="793">
        <f>B481</f>
        <v>389</v>
      </c>
      <c r="C483" s="795">
        <f>C481</f>
        <v>1296</v>
      </c>
      <c r="D483" s="793">
        <f>D481</f>
        <v>100</v>
      </c>
      <c r="E483" s="786">
        <f>ROUNDDOWN(B483*C483*((185-D483)/100),2)</f>
        <v>428522.4</v>
      </c>
      <c r="F483" s="313" t="s">
        <v>108</v>
      </c>
      <c r="G483" s="301">
        <f>3492+17400</f>
        <v>20892</v>
      </c>
      <c r="H483" s="315">
        <f>SUM(G483:G484)</f>
        <v>30006</v>
      </c>
      <c r="I483" s="316">
        <f t="shared" si="276"/>
        <v>19.02</v>
      </c>
      <c r="J483" s="302">
        <f t="shared" si="273"/>
        <v>397365.84</v>
      </c>
      <c r="K483" s="786">
        <f>ROUNDDOWN(J483+E483+J484,2)</f>
        <v>932977.74</v>
      </c>
      <c r="L483" s="2"/>
      <c r="M483" s="583" t="s">
        <v>91</v>
      </c>
      <c r="N483" s="585">
        <f>N481</f>
        <v>389</v>
      </c>
      <c r="O483" s="587">
        <f>O481</f>
        <v>2008.8</v>
      </c>
      <c r="P483" s="589">
        <f>P481</f>
        <v>100</v>
      </c>
      <c r="Q483" s="591">
        <f>ROUNDDOWN(N483*O483*((185-P483)/100),2)</f>
        <v>664209.72</v>
      </c>
      <c r="R483" s="201" t="s">
        <v>108</v>
      </c>
      <c r="S483" s="180">
        <f>3492+17400</f>
        <v>20892</v>
      </c>
      <c r="T483" s="180"/>
      <c r="U483" s="131">
        <f t="shared" si="277"/>
        <v>12.88</v>
      </c>
      <c r="V483" s="102">
        <f t="shared" si="274"/>
        <v>269088.96000000002</v>
      </c>
      <c r="W483" s="593">
        <f>ROUNDDOWN(V483+Q483+V484,2)</f>
        <v>1019517.12</v>
      </c>
      <c r="X483" s="2"/>
      <c r="Y483" s="583" t="s">
        <v>91</v>
      </c>
      <c r="Z483" s="585">
        <f>Z481</f>
        <v>389</v>
      </c>
      <c r="AA483" s="587">
        <f>AA481</f>
        <v>2008.8</v>
      </c>
      <c r="AB483" s="589">
        <f>AB481</f>
        <v>100</v>
      </c>
      <c r="AC483" s="591">
        <f>ROUNDDOWN(Z483*AA483*((185-AB483)/100),2)</f>
        <v>664209.72</v>
      </c>
      <c r="AD483" s="201" t="s">
        <v>108</v>
      </c>
      <c r="AE483" s="180">
        <f>3492+17400</f>
        <v>20892</v>
      </c>
      <c r="AF483" s="180"/>
      <c r="AG483" s="131">
        <f t="shared" si="278"/>
        <v>12.88</v>
      </c>
      <c r="AH483" s="102">
        <f t="shared" si="275"/>
        <v>269088.96000000002</v>
      </c>
      <c r="AI483" s="593">
        <f>ROUNDDOWN(AH483+AC483+AH484,2)</f>
        <v>1019517.12</v>
      </c>
    </row>
    <row r="484" spans="1:35" ht="19.5" customHeight="1" x14ac:dyDescent="0.15">
      <c r="A484" s="789"/>
      <c r="B484" s="794"/>
      <c r="C484" s="796"/>
      <c r="D484" s="794"/>
      <c r="E484" s="787"/>
      <c r="F484" s="310" t="s">
        <v>109</v>
      </c>
      <c r="G484" s="298">
        <f>2976+6138</f>
        <v>9114</v>
      </c>
      <c r="H484" s="312"/>
      <c r="I484" s="317">
        <f t="shared" si="276"/>
        <v>11.75</v>
      </c>
      <c r="J484" s="300">
        <f t="shared" si="273"/>
        <v>107089.5</v>
      </c>
      <c r="K484" s="787"/>
      <c r="L484" s="2"/>
      <c r="M484" s="601"/>
      <c r="N484" s="596"/>
      <c r="O484" s="597"/>
      <c r="P484" s="598"/>
      <c r="Q484" s="599"/>
      <c r="R484" s="198" t="s">
        <v>109</v>
      </c>
      <c r="S484" s="177">
        <f>2976+6138</f>
        <v>9114</v>
      </c>
      <c r="T484" s="177"/>
      <c r="U484" s="132">
        <f t="shared" si="277"/>
        <v>9.4600000000000009</v>
      </c>
      <c r="V484" s="101">
        <f t="shared" si="274"/>
        <v>86218.44</v>
      </c>
      <c r="W484" s="600"/>
      <c r="X484" s="2"/>
      <c r="Y484" s="601"/>
      <c r="Z484" s="596"/>
      <c r="AA484" s="597"/>
      <c r="AB484" s="598"/>
      <c r="AC484" s="599"/>
      <c r="AD484" s="198" t="s">
        <v>109</v>
      </c>
      <c r="AE484" s="177">
        <f>2976+6138</f>
        <v>9114</v>
      </c>
      <c r="AF484" s="177"/>
      <c r="AG484" s="132">
        <f t="shared" si="278"/>
        <v>9.4600000000000009</v>
      </c>
      <c r="AH484" s="101">
        <f t="shared" si="275"/>
        <v>86218.44</v>
      </c>
      <c r="AI484" s="600"/>
    </row>
    <row r="485" spans="1:35" ht="19.5" customHeight="1" x14ac:dyDescent="0.15">
      <c r="A485" s="792" t="s">
        <v>92</v>
      </c>
      <c r="B485" s="793">
        <f>B483</f>
        <v>389</v>
      </c>
      <c r="C485" s="795">
        <f>C483</f>
        <v>1296</v>
      </c>
      <c r="D485" s="793">
        <f>D483</f>
        <v>100</v>
      </c>
      <c r="E485" s="786">
        <f>ROUNDDOWN(B485*C485*((185-D485)/100),2)</f>
        <v>428522.4</v>
      </c>
      <c r="F485" s="313" t="s">
        <v>110</v>
      </c>
      <c r="G485" s="301">
        <v>27252</v>
      </c>
      <c r="H485" s="315">
        <f>SUM(G485:G486)</f>
        <v>45288</v>
      </c>
      <c r="I485" s="303">
        <f>20.59+0.06</f>
        <v>20.65</v>
      </c>
      <c r="J485" s="302">
        <f t="shared" si="273"/>
        <v>562753.80000000005</v>
      </c>
      <c r="K485" s="786">
        <f>ROUNDDOWN(J485+E485+J486,2)</f>
        <v>1219792.32</v>
      </c>
      <c r="L485" s="2"/>
      <c r="M485" s="583" t="s">
        <v>92</v>
      </c>
      <c r="N485" s="585">
        <f>N483</f>
        <v>389</v>
      </c>
      <c r="O485" s="587">
        <f>O483</f>
        <v>2008.8</v>
      </c>
      <c r="P485" s="589">
        <f>P483</f>
        <v>100</v>
      </c>
      <c r="Q485" s="591">
        <f>ROUNDDOWN(N485*O485*((185-P485)/100),2)</f>
        <v>664209.72</v>
      </c>
      <c r="R485" s="201" t="s">
        <v>110</v>
      </c>
      <c r="S485" s="180">
        <v>27252</v>
      </c>
      <c r="T485" s="180"/>
      <c r="U485" s="130">
        <v>13.88</v>
      </c>
      <c r="V485" s="102">
        <f t="shared" si="274"/>
        <v>378257.76</v>
      </c>
      <c r="W485" s="593">
        <f>ROUNDDOWN(V485+Q485+V486,2)</f>
        <v>1225172.1599999999</v>
      </c>
      <c r="X485" s="2"/>
      <c r="Y485" s="583" t="s">
        <v>92</v>
      </c>
      <c r="Z485" s="585">
        <f>Z483</f>
        <v>389</v>
      </c>
      <c r="AA485" s="587">
        <f>AA483</f>
        <v>2008.8</v>
      </c>
      <c r="AB485" s="589">
        <f>AB483</f>
        <v>100</v>
      </c>
      <c r="AC485" s="591">
        <f>ROUNDDOWN(Z485*AA485*((185-AB485)/100),2)</f>
        <v>664209.72</v>
      </c>
      <c r="AD485" s="201" t="s">
        <v>110</v>
      </c>
      <c r="AE485" s="180">
        <v>27252</v>
      </c>
      <c r="AF485" s="180"/>
      <c r="AG485" s="130">
        <v>13.88</v>
      </c>
      <c r="AH485" s="102">
        <f t="shared" si="275"/>
        <v>378257.76</v>
      </c>
      <c r="AI485" s="593">
        <f>ROUNDDOWN(AH485+AC485+AH486,2)</f>
        <v>1225172.1599999999</v>
      </c>
    </row>
    <row r="486" spans="1:35" ht="19.5" customHeight="1" x14ac:dyDescent="0.15">
      <c r="A486" s="789"/>
      <c r="B486" s="794"/>
      <c r="C486" s="796"/>
      <c r="D486" s="794"/>
      <c r="E486" s="787"/>
      <c r="F486" s="310" t="s">
        <v>111</v>
      </c>
      <c r="G486" s="298">
        <v>18036</v>
      </c>
      <c r="H486" s="312"/>
      <c r="I486" s="299">
        <f>12.61+0.06</f>
        <v>12.67</v>
      </c>
      <c r="J486" s="300">
        <f t="shared" si="273"/>
        <v>228516.12</v>
      </c>
      <c r="K486" s="787"/>
      <c r="L486" s="2"/>
      <c r="M486" s="601"/>
      <c r="N486" s="596"/>
      <c r="O486" s="597"/>
      <c r="P486" s="598"/>
      <c r="Q486" s="599"/>
      <c r="R486" s="198" t="s">
        <v>111</v>
      </c>
      <c r="S486" s="177">
        <v>18036</v>
      </c>
      <c r="T486" s="177"/>
      <c r="U486" s="129">
        <v>10.130000000000001</v>
      </c>
      <c r="V486" s="101">
        <f t="shared" si="274"/>
        <v>182704.68</v>
      </c>
      <c r="W486" s="600"/>
      <c r="X486" s="2"/>
      <c r="Y486" s="601"/>
      <c r="Z486" s="596"/>
      <c r="AA486" s="597"/>
      <c r="AB486" s="598"/>
      <c r="AC486" s="599"/>
      <c r="AD486" s="198" t="s">
        <v>111</v>
      </c>
      <c r="AE486" s="177">
        <v>18036</v>
      </c>
      <c r="AF486" s="177"/>
      <c r="AG486" s="129">
        <v>10.130000000000001</v>
      </c>
      <c r="AH486" s="101">
        <f t="shared" si="275"/>
        <v>182704.68</v>
      </c>
      <c r="AI486" s="600"/>
    </row>
    <row r="487" spans="1:35" ht="19.5" customHeight="1" x14ac:dyDescent="0.15">
      <c r="A487" s="792" t="s">
        <v>93</v>
      </c>
      <c r="B487" s="793">
        <f>B485</f>
        <v>389</v>
      </c>
      <c r="C487" s="795">
        <f>C485</f>
        <v>1296</v>
      </c>
      <c r="D487" s="793">
        <f>D485</f>
        <v>100</v>
      </c>
      <c r="E487" s="786">
        <f>ROUNDDOWN(B487*C487*((185-D487)/100),2)</f>
        <v>428522.4</v>
      </c>
      <c r="F487" s="313" t="s">
        <v>110</v>
      </c>
      <c r="G487" s="301">
        <v>28902</v>
      </c>
      <c r="H487" s="315">
        <f>SUM(G487:G488)</f>
        <v>48114</v>
      </c>
      <c r="I487" s="316">
        <f>I485</f>
        <v>20.65</v>
      </c>
      <c r="J487" s="302">
        <f t="shared" si="273"/>
        <v>596826.30000000005</v>
      </c>
      <c r="K487" s="786">
        <f>ROUNDDOWN(J487+E487+J488,2)</f>
        <v>1268764.74</v>
      </c>
      <c r="L487" s="89"/>
      <c r="M487" s="583" t="s">
        <v>93</v>
      </c>
      <c r="N487" s="585">
        <f>N485</f>
        <v>389</v>
      </c>
      <c r="O487" s="587">
        <f>O485</f>
        <v>2008.8</v>
      </c>
      <c r="P487" s="589">
        <f>P485</f>
        <v>100</v>
      </c>
      <c r="Q487" s="591">
        <f>ROUNDDOWN(N487*O487*((185-P487)/100),2)</f>
        <v>664209.72</v>
      </c>
      <c r="R487" s="201" t="s">
        <v>110</v>
      </c>
      <c r="S487" s="180">
        <v>28902</v>
      </c>
      <c r="T487" s="180"/>
      <c r="U487" s="131">
        <f>U485</f>
        <v>13.88</v>
      </c>
      <c r="V487" s="102">
        <f t="shared" si="274"/>
        <v>401159.76</v>
      </c>
      <c r="W487" s="593">
        <f>ROUNDDOWN(V487+Q487+V488,2)</f>
        <v>1259987.04</v>
      </c>
      <c r="X487" s="89"/>
      <c r="Y487" s="583" t="s">
        <v>93</v>
      </c>
      <c r="Z487" s="585">
        <f>Z485</f>
        <v>389</v>
      </c>
      <c r="AA487" s="587">
        <f>AA485</f>
        <v>2008.8</v>
      </c>
      <c r="AB487" s="589">
        <f>AB485</f>
        <v>100</v>
      </c>
      <c r="AC487" s="591">
        <f>ROUNDDOWN(Z487*AA487*((185-AB487)/100),2)</f>
        <v>664209.72</v>
      </c>
      <c r="AD487" s="201" t="s">
        <v>110</v>
      </c>
      <c r="AE487" s="180">
        <v>28902</v>
      </c>
      <c r="AF487" s="180"/>
      <c r="AG487" s="131">
        <f>AG485</f>
        <v>13.88</v>
      </c>
      <c r="AH487" s="102">
        <f t="shared" si="275"/>
        <v>401159.76</v>
      </c>
      <c r="AI487" s="593">
        <f>ROUNDDOWN(AH487+AC487+AH488,2)</f>
        <v>1259987.04</v>
      </c>
    </row>
    <row r="488" spans="1:35" ht="19.5" customHeight="1" x14ac:dyDescent="0.15">
      <c r="A488" s="789"/>
      <c r="B488" s="794"/>
      <c r="C488" s="796"/>
      <c r="D488" s="794"/>
      <c r="E488" s="787"/>
      <c r="F488" s="310" t="s">
        <v>111</v>
      </c>
      <c r="G488" s="298">
        <v>19212</v>
      </c>
      <c r="H488" s="312"/>
      <c r="I488" s="317">
        <f>I486</f>
        <v>12.67</v>
      </c>
      <c r="J488" s="300">
        <f t="shared" si="273"/>
        <v>243416.04</v>
      </c>
      <c r="K488" s="787"/>
      <c r="L488" s="89"/>
      <c r="M488" s="601"/>
      <c r="N488" s="596"/>
      <c r="O488" s="597"/>
      <c r="P488" s="598"/>
      <c r="Q488" s="599"/>
      <c r="R488" s="198" t="s">
        <v>111</v>
      </c>
      <c r="S488" s="177">
        <v>19212</v>
      </c>
      <c r="T488" s="177"/>
      <c r="U488" s="132">
        <f>U486</f>
        <v>10.130000000000001</v>
      </c>
      <c r="V488" s="101">
        <f t="shared" si="274"/>
        <v>194617.56</v>
      </c>
      <c r="W488" s="600"/>
      <c r="X488" s="89"/>
      <c r="Y488" s="601"/>
      <c r="Z488" s="596"/>
      <c r="AA488" s="597"/>
      <c r="AB488" s="598"/>
      <c r="AC488" s="599"/>
      <c r="AD488" s="198" t="s">
        <v>111</v>
      </c>
      <c r="AE488" s="177">
        <v>19212</v>
      </c>
      <c r="AF488" s="177"/>
      <c r="AG488" s="132">
        <f>AG486</f>
        <v>10.130000000000001</v>
      </c>
      <c r="AH488" s="101">
        <f t="shared" si="275"/>
        <v>194617.56</v>
      </c>
      <c r="AI488" s="600"/>
    </row>
    <row r="489" spans="1:35" ht="19.5" customHeight="1" x14ac:dyDescent="0.15">
      <c r="A489" s="792" t="s">
        <v>94</v>
      </c>
      <c r="B489" s="793">
        <f>B487</f>
        <v>389</v>
      </c>
      <c r="C489" s="795">
        <f>C487</f>
        <v>1296</v>
      </c>
      <c r="D489" s="793">
        <f>D487</f>
        <v>100</v>
      </c>
      <c r="E489" s="786">
        <f>ROUNDDOWN(B489*C489*((185-D489)/100),2)</f>
        <v>428522.4</v>
      </c>
      <c r="F489" s="313" t="s">
        <v>110</v>
      </c>
      <c r="G489" s="301">
        <f>13932+2796</f>
        <v>16728</v>
      </c>
      <c r="H489" s="315">
        <f>SUM(G489:G490)</f>
        <v>27660</v>
      </c>
      <c r="I489" s="316">
        <f>I487</f>
        <v>20.65</v>
      </c>
      <c r="J489" s="302">
        <f t="shared" si="273"/>
        <v>345433.2</v>
      </c>
      <c r="K489" s="786">
        <f>ROUNDDOWN(J489+E489+J490,2)</f>
        <v>912464.04</v>
      </c>
      <c r="L489" s="89"/>
      <c r="M489" s="583" t="s">
        <v>94</v>
      </c>
      <c r="N489" s="585">
        <f>N487</f>
        <v>389</v>
      </c>
      <c r="O489" s="587">
        <f>O487</f>
        <v>2008.8</v>
      </c>
      <c r="P489" s="589">
        <f>P487</f>
        <v>100</v>
      </c>
      <c r="Q489" s="591">
        <f>ROUNDDOWN(N489*O489*((185-P489)/100),2)</f>
        <v>664209.72</v>
      </c>
      <c r="R489" s="201" t="s">
        <v>110</v>
      </c>
      <c r="S489" s="180">
        <f>13932+2796</f>
        <v>16728</v>
      </c>
      <c r="T489" s="180"/>
      <c r="U489" s="131">
        <f>U487</f>
        <v>13.88</v>
      </c>
      <c r="V489" s="102">
        <f t="shared" si="274"/>
        <v>232184.64</v>
      </c>
      <c r="W489" s="593">
        <f>ROUNDDOWN(V489+Q489+V490,2)</f>
        <v>1007135.52</v>
      </c>
      <c r="X489" s="89"/>
      <c r="Y489" s="583" t="s">
        <v>94</v>
      </c>
      <c r="Z489" s="585">
        <f>Z487</f>
        <v>389</v>
      </c>
      <c r="AA489" s="587">
        <f>AA487</f>
        <v>2008.8</v>
      </c>
      <c r="AB489" s="589">
        <f>AB487</f>
        <v>100</v>
      </c>
      <c r="AC489" s="591">
        <f>ROUNDDOWN(Z489*AA489*((185-AB489)/100),2)</f>
        <v>664209.72</v>
      </c>
      <c r="AD489" s="201" t="s">
        <v>110</v>
      </c>
      <c r="AE489" s="180">
        <f>13932+2796</f>
        <v>16728</v>
      </c>
      <c r="AF489" s="180"/>
      <c r="AG489" s="131">
        <f>AG487</f>
        <v>13.88</v>
      </c>
      <c r="AH489" s="102">
        <f t="shared" si="275"/>
        <v>232184.64</v>
      </c>
      <c r="AI489" s="593">
        <f>ROUNDDOWN(AH489+AC489+AH490,2)</f>
        <v>1007135.52</v>
      </c>
    </row>
    <row r="490" spans="1:35" ht="19.5" customHeight="1" x14ac:dyDescent="0.15">
      <c r="A490" s="789"/>
      <c r="B490" s="794"/>
      <c r="C490" s="796"/>
      <c r="D490" s="794"/>
      <c r="E490" s="787"/>
      <c r="F490" s="310" t="s">
        <v>111</v>
      </c>
      <c r="G490" s="298">
        <f>9306+1626</f>
        <v>10932</v>
      </c>
      <c r="H490" s="312"/>
      <c r="I490" s="317">
        <f>I488</f>
        <v>12.67</v>
      </c>
      <c r="J490" s="300">
        <f t="shared" si="273"/>
        <v>138508.44</v>
      </c>
      <c r="K490" s="787"/>
      <c r="L490" s="89"/>
      <c r="M490" s="601"/>
      <c r="N490" s="596"/>
      <c r="O490" s="597"/>
      <c r="P490" s="598"/>
      <c r="Q490" s="599"/>
      <c r="R490" s="198" t="s">
        <v>111</v>
      </c>
      <c r="S490" s="177">
        <f>9306+1626</f>
        <v>10932</v>
      </c>
      <c r="T490" s="177"/>
      <c r="U490" s="132">
        <f>U488</f>
        <v>10.130000000000001</v>
      </c>
      <c r="V490" s="101">
        <f t="shared" si="274"/>
        <v>110741.16</v>
      </c>
      <c r="W490" s="600"/>
      <c r="X490" s="89"/>
      <c r="Y490" s="601"/>
      <c r="Z490" s="596"/>
      <c r="AA490" s="597"/>
      <c r="AB490" s="598"/>
      <c r="AC490" s="599"/>
      <c r="AD490" s="198" t="s">
        <v>111</v>
      </c>
      <c r="AE490" s="177">
        <f>9306+1626</f>
        <v>10932</v>
      </c>
      <c r="AF490" s="177"/>
      <c r="AG490" s="132">
        <f>AG488</f>
        <v>10.130000000000001</v>
      </c>
      <c r="AH490" s="101">
        <f t="shared" si="275"/>
        <v>110741.16</v>
      </c>
      <c r="AI490" s="600"/>
    </row>
    <row r="491" spans="1:35" ht="19.5" customHeight="1" x14ac:dyDescent="0.15">
      <c r="A491" s="792" t="s">
        <v>95</v>
      </c>
      <c r="B491" s="793">
        <f>B489</f>
        <v>389</v>
      </c>
      <c r="C491" s="795">
        <f>C489</f>
        <v>1296</v>
      </c>
      <c r="D491" s="793">
        <f>D489</f>
        <v>100</v>
      </c>
      <c r="E491" s="786">
        <f>ROUNDDOWN(B491*C491*((185-D491)/100),2)</f>
        <v>428522.4</v>
      </c>
      <c r="F491" s="313" t="s">
        <v>108</v>
      </c>
      <c r="G491" s="301">
        <v>10716</v>
      </c>
      <c r="H491" s="315">
        <f>SUM(G491:G492)</f>
        <v>20466</v>
      </c>
      <c r="I491" s="316">
        <f>I483</f>
        <v>19.02</v>
      </c>
      <c r="J491" s="302">
        <f t="shared" si="273"/>
        <v>203818.32</v>
      </c>
      <c r="K491" s="786">
        <f>ROUNDDOWN(J491+E491+J492,2)</f>
        <v>746903.22</v>
      </c>
      <c r="L491" s="89"/>
      <c r="M491" s="583" t="s">
        <v>95</v>
      </c>
      <c r="N491" s="585">
        <f>N489</f>
        <v>389</v>
      </c>
      <c r="O491" s="587">
        <f>O489</f>
        <v>2008.8</v>
      </c>
      <c r="P491" s="589">
        <f>P489</f>
        <v>100</v>
      </c>
      <c r="Q491" s="591">
        <f>ROUNDDOWN(N491*O491*((185-P491)/100),2)</f>
        <v>664209.72</v>
      </c>
      <c r="R491" s="201" t="s">
        <v>108</v>
      </c>
      <c r="S491" s="180">
        <v>10716</v>
      </c>
      <c r="T491" s="180"/>
      <c r="U491" s="131">
        <f>U483</f>
        <v>12.88</v>
      </c>
      <c r="V491" s="102">
        <f t="shared" si="274"/>
        <v>138022.07999999999</v>
      </c>
      <c r="W491" s="593">
        <f>ROUNDDOWN(V491+Q491+V492,2)</f>
        <v>894466.8</v>
      </c>
      <c r="X491" s="89"/>
      <c r="Y491" s="583" t="s">
        <v>95</v>
      </c>
      <c r="Z491" s="585">
        <f>Z489</f>
        <v>389</v>
      </c>
      <c r="AA491" s="587">
        <f>AA489</f>
        <v>2008.8</v>
      </c>
      <c r="AB491" s="589">
        <f>AB489</f>
        <v>100</v>
      </c>
      <c r="AC491" s="591">
        <f>ROUNDDOWN(Z491*AA491*((185-AB491)/100),2)</f>
        <v>664209.72</v>
      </c>
      <c r="AD491" s="201" t="s">
        <v>108</v>
      </c>
      <c r="AE491" s="180">
        <v>10716</v>
      </c>
      <c r="AF491" s="180"/>
      <c r="AG491" s="131">
        <f>AG483</f>
        <v>12.88</v>
      </c>
      <c r="AH491" s="102">
        <f t="shared" si="275"/>
        <v>138022.07999999999</v>
      </c>
      <c r="AI491" s="593">
        <f>ROUNDDOWN(AH491+AC491+AH492,2)</f>
        <v>894466.8</v>
      </c>
    </row>
    <row r="492" spans="1:35" ht="19.5" customHeight="1" x14ac:dyDescent="0.15">
      <c r="A492" s="789"/>
      <c r="B492" s="794"/>
      <c r="C492" s="796"/>
      <c r="D492" s="794"/>
      <c r="E492" s="787"/>
      <c r="F492" s="310" t="s">
        <v>109</v>
      </c>
      <c r="G492" s="298">
        <v>9750</v>
      </c>
      <c r="H492" s="312"/>
      <c r="I492" s="317">
        <f>I484</f>
        <v>11.75</v>
      </c>
      <c r="J492" s="300">
        <f t="shared" si="273"/>
        <v>114562.5</v>
      </c>
      <c r="K492" s="787"/>
      <c r="L492" s="89"/>
      <c r="M492" s="601"/>
      <c r="N492" s="596"/>
      <c r="O492" s="597"/>
      <c r="P492" s="598"/>
      <c r="Q492" s="599"/>
      <c r="R492" s="198" t="s">
        <v>109</v>
      </c>
      <c r="S492" s="177">
        <v>9750</v>
      </c>
      <c r="T492" s="177"/>
      <c r="U492" s="132">
        <f>U484</f>
        <v>9.4600000000000009</v>
      </c>
      <c r="V492" s="101">
        <f t="shared" si="274"/>
        <v>92235</v>
      </c>
      <c r="W492" s="600"/>
      <c r="X492" s="89"/>
      <c r="Y492" s="601"/>
      <c r="Z492" s="596"/>
      <c r="AA492" s="597"/>
      <c r="AB492" s="598"/>
      <c r="AC492" s="599"/>
      <c r="AD492" s="198" t="s">
        <v>109</v>
      </c>
      <c r="AE492" s="177">
        <v>9750</v>
      </c>
      <c r="AF492" s="177"/>
      <c r="AG492" s="132">
        <f>AG484</f>
        <v>9.4600000000000009</v>
      </c>
      <c r="AH492" s="101">
        <f t="shared" si="275"/>
        <v>92235</v>
      </c>
      <c r="AI492" s="600"/>
    </row>
    <row r="493" spans="1:35" ht="19.5" customHeight="1" x14ac:dyDescent="0.15">
      <c r="A493" s="792" t="s">
        <v>96</v>
      </c>
      <c r="B493" s="793">
        <f>B491</f>
        <v>389</v>
      </c>
      <c r="C493" s="795">
        <f>C491</f>
        <v>1296</v>
      </c>
      <c r="D493" s="793">
        <f>D491</f>
        <v>100</v>
      </c>
      <c r="E493" s="786">
        <f>ROUNDDOWN(B493*C493*((185-D493)/100),2)</f>
        <v>428522.4</v>
      </c>
      <c r="F493" s="313" t="s">
        <v>108</v>
      </c>
      <c r="G493" s="301">
        <v>18906</v>
      </c>
      <c r="H493" s="315">
        <f>SUM(G493:G494)</f>
        <v>28188</v>
      </c>
      <c r="I493" s="316">
        <f>I491</f>
        <v>19.02</v>
      </c>
      <c r="J493" s="302">
        <f t="shared" si="273"/>
        <v>359592.12</v>
      </c>
      <c r="K493" s="786">
        <f>ROUNDDOWN(J493+E493+J494,2)</f>
        <v>897178.02</v>
      </c>
      <c r="L493" s="89"/>
      <c r="M493" s="583" t="s">
        <v>96</v>
      </c>
      <c r="N493" s="585">
        <f>N491</f>
        <v>389</v>
      </c>
      <c r="O493" s="587">
        <f>O491</f>
        <v>2008.8</v>
      </c>
      <c r="P493" s="589">
        <f>P491</f>
        <v>100</v>
      </c>
      <c r="Q493" s="591">
        <f>ROUNDDOWN(N493*O493*((185-P493)/100),2)</f>
        <v>664209.72</v>
      </c>
      <c r="R493" s="201" t="s">
        <v>108</v>
      </c>
      <c r="S493" s="180">
        <v>18906</v>
      </c>
      <c r="T493" s="180"/>
      <c r="U493" s="131">
        <f>U491</f>
        <v>12.88</v>
      </c>
      <c r="V493" s="102">
        <f t="shared" si="274"/>
        <v>243509.28</v>
      </c>
      <c r="W493" s="593">
        <f>ROUNDDOWN(V493+Q493+V494,2)</f>
        <v>995526.72</v>
      </c>
      <c r="X493" s="89"/>
      <c r="Y493" s="583" t="s">
        <v>96</v>
      </c>
      <c r="Z493" s="585">
        <f>Z491</f>
        <v>389</v>
      </c>
      <c r="AA493" s="587">
        <f>AA491</f>
        <v>2008.8</v>
      </c>
      <c r="AB493" s="589">
        <f>AB491</f>
        <v>100</v>
      </c>
      <c r="AC493" s="591">
        <f>ROUNDDOWN(Z493*AA493*((185-AB493)/100),2)</f>
        <v>664209.72</v>
      </c>
      <c r="AD493" s="201" t="s">
        <v>108</v>
      </c>
      <c r="AE493" s="180">
        <v>18906</v>
      </c>
      <c r="AF493" s="180"/>
      <c r="AG493" s="131">
        <f>AG491</f>
        <v>12.88</v>
      </c>
      <c r="AH493" s="102">
        <f t="shared" si="275"/>
        <v>243509.28</v>
      </c>
      <c r="AI493" s="593">
        <f>ROUNDDOWN(AH493+AC493+AH494,2)</f>
        <v>995526.72</v>
      </c>
    </row>
    <row r="494" spans="1:35" ht="19.5" customHeight="1" x14ac:dyDescent="0.15">
      <c r="A494" s="806"/>
      <c r="B494" s="794"/>
      <c r="C494" s="796"/>
      <c r="D494" s="794"/>
      <c r="E494" s="787"/>
      <c r="F494" s="310" t="s">
        <v>109</v>
      </c>
      <c r="G494" s="298">
        <v>9282</v>
      </c>
      <c r="H494" s="312"/>
      <c r="I494" s="317">
        <f>I492</f>
        <v>11.75</v>
      </c>
      <c r="J494" s="300">
        <f t="shared" si="273"/>
        <v>109063.5</v>
      </c>
      <c r="K494" s="787"/>
      <c r="L494" s="89"/>
      <c r="M494" s="595"/>
      <c r="N494" s="596"/>
      <c r="O494" s="597"/>
      <c r="P494" s="598"/>
      <c r="Q494" s="599"/>
      <c r="R494" s="198" t="s">
        <v>109</v>
      </c>
      <c r="S494" s="177">
        <v>9282</v>
      </c>
      <c r="T494" s="177"/>
      <c r="U494" s="132">
        <f>U492</f>
        <v>9.4600000000000009</v>
      </c>
      <c r="V494" s="101">
        <f t="shared" si="274"/>
        <v>87807.72</v>
      </c>
      <c r="W494" s="600"/>
      <c r="X494" s="89"/>
      <c r="Y494" s="595"/>
      <c r="Z494" s="596"/>
      <c r="AA494" s="597"/>
      <c r="AB494" s="598"/>
      <c r="AC494" s="599"/>
      <c r="AD494" s="198" t="s">
        <v>109</v>
      </c>
      <c r="AE494" s="177">
        <v>9282</v>
      </c>
      <c r="AF494" s="177"/>
      <c r="AG494" s="132">
        <f>AG492</f>
        <v>9.4600000000000009</v>
      </c>
      <c r="AH494" s="101">
        <f t="shared" si="275"/>
        <v>87807.72</v>
      </c>
      <c r="AI494" s="600"/>
    </row>
    <row r="495" spans="1:35" ht="19.5" customHeight="1" x14ac:dyDescent="0.15">
      <c r="A495" s="792" t="s">
        <v>97</v>
      </c>
      <c r="B495" s="793">
        <f>B493</f>
        <v>389</v>
      </c>
      <c r="C495" s="795">
        <f>C493</f>
        <v>1296</v>
      </c>
      <c r="D495" s="793">
        <f>D493</f>
        <v>100</v>
      </c>
      <c r="E495" s="786">
        <f>ROUNDDOWN(B495*C495*((185-D495)/100),2)</f>
        <v>428522.4</v>
      </c>
      <c r="F495" s="313" t="s">
        <v>108</v>
      </c>
      <c r="G495" s="301">
        <v>16332</v>
      </c>
      <c r="H495" s="315">
        <f>SUM(G495:G496)</f>
        <v>27636</v>
      </c>
      <c r="I495" s="316">
        <f>I493</f>
        <v>19.02</v>
      </c>
      <c r="J495" s="302">
        <f t="shared" si="273"/>
        <v>310634.64</v>
      </c>
      <c r="K495" s="786">
        <f>ROUNDDOWN(J495+E495+J496,2)</f>
        <v>871979.04</v>
      </c>
      <c r="L495" s="89"/>
      <c r="M495" s="583" t="s">
        <v>97</v>
      </c>
      <c r="N495" s="585">
        <f>N493</f>
        <v>389</v>
      </c>
      <c r="O495" s="587">
        <f>O493</f>
        <v>2008.8</v>
      </c>
      <c r="P495" s="589">
        <f>P493</f>
        <v>100</v>
      </c>
      <c r="Q495" s="591">
        <f>ROUNDDOWN(N495*O495*((185-P495)/100),2)</f>
        <v>664209.72</v>
      </c>
      <c r="R495" s="201" t="s">
        <v>108</v>
      </c>
      <c r="S495" s="180">
        <v>16332</v>
      </c>
      <c r="T495" s="180"/>
      <c r="U495" s="131">
        <f>U493</f>
        <v>12.88</v>
      </c>
      <c r="V495" s="102">
        <f t="shared" si="274"/>
        <v>210356.16</v>
      </c>
      <c r="W495" s="593">
        <f>ROUNDDOWN(V495+Q495+V496,2)</f>
        <v>981501.72</v>
      </c>
      <c r="X495" s="89"/>
      <c r="Y495" s="583" t="s">
        <v>97</v>
      </c>
      <c r="Z495" s="585">
        <f>Z493</f>
        <v>389</v>
      </c>
      <c r="AA495" s="587">
        <f>AA493</f>
        <v>2008.8</v>
      </c>
      <c r="AB495" s="589">
        <f>AB493</f>
        <v>100</v>
      </c>
      <c r="AC495" s="591">
        <f>ROUNDDOWN(Z495*AA495*((185-AB495)/100),2)</f>
        <v>664209.72</v>
      </c>
      <c r="AD495" s="201" t="s">
        <v>108</v>
      </c>
      <c r="AE495" s="180">
        <v>16332</v>
      </c>
      <c r="AF495" s="180"/>
      <c r="AG495" s="131">
        <f>AG493</f>
        <v>12.88</v>
      </c>
      <c r="AH495" s="102">
        <f t="shared" si="275"/>
        <v>210356.16</v>
      </c>
      <c r="AI495" s="593">
        <f>ROUNDDOWN(AH495+AC495+AH496,2)</f>
        <v>981501.72</v>
      </c>
    </row>
    <row r="496" spans="1:35" ht="19.5" customHeight="1" thickBot="1" x14ac:dyDescent="0.2">
      <c r="A496" s="807"/>
      <c r="B496" s="801"/>
      <c r="C496" s="800"/>
      <c r="D496" s="801"/>
      <c r="E496" s="802"/>
      <c r="F496" s="318" t="s">
        <v>109</v>
      </c>
      <c r="G496" s="319">
        <v>11304</v>
      </c>
      <c r="H496" s="320"/>
      <c r="I496" s="321">
        <f>I494</f>
        <v>11.75</v>
      </c>
      <c r="J496" s="322">
        <f t="shared" si="273"/>
        <v>132822</v>
      </c>
      <c r="K496" s="802"/>
      <c r="L496" s="89"/>
      <c r="M496" s="584"/>
      <c r="N496" s="586"/>
      <c r="O496" s="588"/>
      <c r="P496" s="590"/>
      <c r="Q496" s="592"/>
      <c r="R496" s="204" t="s">
        <v>109</v>
      </c>
      <c r="S496" s="205">
        <v>11304</v>
      </c>
      <c r="T496" s="205"/>
      <c r="U496" s="133">
        <f>U494</f>
        <v>9.4600000000000009</v>
      </c>
      <c r="V496" s="103">
        <f t="shared" si="274"/>
        <v>106935.84</v>
      </c>
      <c r="W496" s="594"/>
      <c r="X496" s="89"/>
      <c r="Y496" s="584"/>
      <c r="Z496" s="586"/>
      <c r="AA496" s="588"/>
      <c r="AB496" s="590"/>
      <c r="AC496" s="592"/>
      <c r="AD496" s="204" t="s">
        <v>109</v>
      </c>
      <c r="AE496" s="205">
        <v>11304</v>
      </c>
      <c r="AF496" s="205"/>
      <c r="AG496" s="133">
        <f>AG494</f>
        <v>9.4600000000000009</v>
      </c>
      <c r="AH496" s="103">
        <f t="shared" si="275"/>
        <v>106935.84</v>
      </c>
      <c r="AI496" s="594"/>
    </row>
    <row r="497" spans="1:35" ht="30" customHeight="1" thickBot="1" x14ac:dyDescent="0.2">
      <c r="A497" s="251" t="s">
        <v>41</v>
      </c>
      <c r="B497" s="245"/>
      <c r="C497" s="245"/>
      <c r="D497" s="245"/>
      <c r="E497" s="246">
        <f>SUM(E473:E496)</f>
        <v>5142268.8000000007</v>
      </c>
      <c r="F497" s="323"/>
      <c r="G497" s="248">
        <f>SUM(G473:G496)</f>
        <v>356862</v>
      </c>
      <c r="H497" s="248">
        <f>SUM(H473:H496)</f>
        <v>356862</v>
      </c>
      <c r="I497" s="245"/>
      <c r="J497" s="246">
        <f>SUM(J473:J496)</f>
        <v>5934786.8600000003</v>
      </c>
      <c r="K497" s="249">
        <f>SUM(K473:K496)</f>
        <v>11077055.66</v>
      </c>
      <c r="L497" s="89" t="s">
        <v>113</v>
      </c>
      <c r="M497" s="164" t="s">
        <v>41</v>
      </c>
      <c r="N497" s="157"/>
      <c r="O497" s="157"/>
      <c r="P497" s="157"/>
      <c r="Q497" s="158">
        <f>SUM(Q473:Q496)</f>
        <v>7734829.3199999984</v>
      </c>
      <c r="R497" s="206"/>
      <c r="S497" s="160">
        <f>SUM(S473:S496)</f>
        <v>356862</v>
      </c>
      <c r="T497" s="160"/>
      <c r="U497" s="157"/>
      <c r="V497" s="158">
        <f>SUM(V473:V496)</f>
        <v>4223661.7200000007</v>
      </c>
      <c r="W497" s="161">
        <f>SUM(W473:W496)</f>
        <v>11958491.040000003</v>
      </c>
      <c r="X497" s="89" t="s">
        <v>113</v>
      </c>
      <c r="Y497" s="164" t="s">
        <v>41</v>
      </c>
      <c r="Z497" s="157"/>
      <c r="AA497" s="157"/>
      <c r="AB497" s="157"/>
      <c r="AC497" s="158">
        <f>SUM(AC473:AC496)</f>
        <v>7734829.3199999984</v>
      </c>
      <c r="AD497" s="206"/>
      <c r="AE497" s="160">
        <f>SUM(AE473:AE496)</f>
        <v>356862</v>
      </c>
      <c r="AF497" s="160"/>
      <c r="AG497" s="157"/>
      <c r="AH497" s="158">
        <f>SUM(AH473:AH496)</f>
        <v>4223661.7200000007</v>
      </c>
      <c r="AI497" s="161">
        <f>SUM(AI473:AI496)</f>
        <v>11958491.040000003</v>
      </c>
    </row>
    <row r="498" spans="1:35" ht="15" customHeight="1" x14ac:dyDescent="0.15">
      <c r="A498" s="214"/>
      <c r="B498" s="250"/>
      <c r="C498" s="250"/>
      <c r="D498" s="250"/>
      <c r="E498" s="250"/>
      <c r="F498" s="250"/>
      <c r="G498" s="250"/>
      <c r="H498" s="250"/>
      <c r="I498" s="250"/>
      <c r="J498" s="250"/>
      <c r="K498" s="250"/>
      <c r="L498" s="89"/>
      <c r="N498" s="162"/>
      <c r="O498" s="162"/>
      <c r="P498" s="162"/>
      <c r="Q498" s="162"/>
      <c r="R498" s="162"/>
      <c r="S498" s="162"/>
      <c r="T498" s="162"/>
      <c r="U498" s="162"/>
      <c r="V498" s="162"/>
      <c r="W498" s="162"/>
      <c r="X498" s="89"/>
      <c r="Z498" s="162"/>
      <c r="AA498" s="162"/>
      <c r="AB498" s="162"/>
      <c r="AC498" s="162"/>
      <c r="AD498" s="162"/>
      <c r="AE498" s="162"/>
      <c r="AF498" s="162"/>
      <c r="AG498" s="162"/>
      <c r="AH498" s="162"/>
      <c r="AI498" s="162"/>
    </row>
    <row r="499" spans="1:35" x14ac:dyDescent="0.15">
      <c r="A499" s="211" t="s">
        <v>153</v>
      </c>
      <c r="B499" s="212">
        <f>B462+1</f>
        <v>18</v>
      </c>
      <c r="C499" s="213"/>
      <c r="D499" s="213"/>
      <c r="E499" s="213"/>
      <c r="F499" s="213"/>
      <c r="G499" s="213"/>
      <c r="H499" s="213"/>
      <c r="I499" s="213"/>
      <c r="J499" s="213"/>
      <c r="K499" s="692" t="str">
        <f>IF(K522-W522&lt;=0,"現状のまま","メニュー変更")</f>
        <v>現状のまま</v>
      </c>
      <c r="L499" s="2"/>
      <c r="M499" s="47" t="s">
        <v>153</v>
      </c>
      <c r="N499" s="62">
        <f>N462+1</f>
        <v>18</v>
      </c>
      <c r="X499" s="2"/>
      <c r="Y499" s="47" t="s">
        <v>153</v>
      </c>
      <c r="Z499" s="62" t="e">
        <f>Z462+1</f>
        <v>#REF!</v>
      </c>
    </row>
    <row r="500" spans="1:35" x14ac:dyDescent="0.15">
      <c r="A500" s="214"/>
      <c r="B500" s="213"/>
      <c r="C500" s="213"/>
      <c r="D500" s="213"/>
      <c r="E500" s="213"/>
      <c r="F500" s="213"/>
      <c r="G500" s="213"/>
      <c r="H500" s="213"/>
      <c r="I500" s="213"/>
      <c r="J500" s="213"/>
      <c r="K500" s="692"/>
      <c r="L500" s="2"/>
      <c r="X500" s="2"/>
    </row>
    <row r="501" spans="1:35" x14ac:dyDescent="0.15">
      <c r="A501" s="214"/>
      <c r="B501" s="213"/>
      <c r="C501" s="213"/>
      <c r="D501" s="213"/>
      <c r="E501" s="213"/>
      <c r="F501" s="213"/>
      <c r="G501" s="213"/>
      <c r="H501" s="213"/>
      <c r="I501" s="213"/>
      <c r="J501" s="213"/>
      <c r="K501" s="692"/>
      <c r="L501" s="2"/>
      <c r="X501" s="2"/>
    </row>
    <row r="502" spans="1:35" ht="17.25" x14ac:dyDescent="0.15">
      <c r="A502" s="694" t="str">
        <f>$A$5</f>
        <v>平成29年度小郡市役所庁舎外25施設電力需給</v>
      </c>
      <c r="B502" s="694"/>
      <c r="C502" s="694"/>
      <c r="D502" s="694"/>
      <c r="E502" s="694"/>
      <c r="F502" s="694"/>
      <c r="G502" s="694"/>
      <c r="H502" s="694"/>
      <c r="I502" s="694"/>
      <c r="J502" s="694"/>
      <c r="K502" s="694"/>
      <c r="L502" s="2"/>
      <c r="M502" s="553" t="str">
        <f>$A$5</f>
        <v>平成29年度小郡市役所庁舎外25施設電力需給</v>
      </c>
      <c r="N502" s="553"/>
      <c r="O502" s="553"/>
      <c r="P502" s="553"/>
      <c r="Q502" s="553"/>
      <c r="R502" s="553"/>
      <c r="S502" s="553"/>
      <c r="T502" s="553"/>
      <c r="U502" s="553"/>
      <c r="V502" s="553"/>
      <c r="W502" s="553"/>
      <c r="X502" s="2"/>
      <c r="Y502" s="553" t="str">
        <f>$A$5</f>
        <v>平成29年度小郡市役所庁舎外25施設電力需給</v>
      </c>
      <c r="Z502" s="553"/>
      <c r="AA502" s="553"/>
      <c r="AB502" s="553"/>
      <c r="AC502" s="553"/>
      <c r="AD502" s="553"/>
      <c r="AE502" s="553"/>
      <c r="AF502" s="553"/>
      <c r="AG502" s="553"/>
      <c r="AH502" s="553"/>
      <c r="AI502" s="553"/>
    </row>
    <row r="503" spans="1:35" x14ac:dyDescent="0.15">
      <c r="A503" s="689" t="str">
        <f>$A$6</f>
        <v>（平成３０年１月～平成３０年１２月期間中の予定金額）</v>
      </c>
      <c r="B503" s="689"/>
      <c r="C503" s="689"/>
      <c r="D503" s="689"/>
      <c r="E503" s="689"/>
      <c r="F503" s="689"/>
      <c r="G503" s="689"/>
      <c r="H503" s="689"/>
      <c r="I503" s="689"/>
      <c r="J503" s="689"/>
      <c r="K503" s="689"/>
      <c r="L503" s="2"/>
      <c r="M503" s="555" t="str">
        <f>$A$6</f>
        <v>（平成３０年１月～平成３０年１２月期間中の予定金額）</v>
      </c>
      <c r="N503" s="555"/>
      <c r="O503" s="555"/>
      <c r="P503" s="555"/>
      <c r="Q503" s="555"/>
      <c r="R503" s="555"/>
      <c r="S503" s="555"/>
      <c r="T503" s="555"/>
      <c r="U503" s="555"/>
      <c r="V503" s="555"/>
      <c r="W503" s="555"/>
      <c r="X503" s="2"/>
      <c r="Y503" s="555" t="str">
        <f>$A$6</f>
        <v>（平成３０年１月～平成３０年１２月期間中の予定金額）</v>
      </c>
      <c r="Z503" s="555"/>
      <c r="AA503" s="555"/>
      <c r="AB503" s="555"/>
      <c r="AC503" s="555"/>
      <c r="AD503" s="555"/>
      <c r="AE503" s="555"/>
      <c r="AF503" s="555"/>
      <c r="AG503" s="555"/>
      <c r="AH503" s="555"/>
      <c r="AI503" s="555"/>
    </row>
    <row r="504" spans="1:35" ht="14.25" thickBot="1" x14ac:dyDescent="0.2">
      <c r="A504" s="324" t="s">
        <v>120</v>
      </c>
      <c r="B504" s="324"/>
      <c r="C504" s="213"/>
      <c r="D504" s="213"/>
      <c r="E504" s="213"/>
      <c r="F504" s="213"/>
      <c r="G504" s="213"/>
      <c r="H504" s="213"/>
      <c r="I504" s="213"/>
      <c r="J504" s="213"/>
      <c r="K504" s="211" t="s">
        <v>84</v>
      </c>
      <c r="L504" s="2"/>
      <c r="M504" s="207" t="s">
        <v>120</v>
      </c>
      <c r="N504" s="207"/>
      <c r="W504" s="47" t="s">
        <v>70</v>
      </c>
      <c r="X504" s="2"/>
      <c r="Y504" s="207" t="s">
        <v>120</v>
      </c>
      <c r="Z504" s="207"/>
      <c r="AI504" s="47" t="s">
        <v>70</v>
      </c>
    </row>
    <row r="505" spans="1:35" ht="18" customHeight="1" thickBot="1" x14ac:dyDescent="0.2">
      <c r="A505" s="695" t="s">
        <v>33</v>
      </c>
      <c r="B505" s="683" t="s">
        <v>24</v>
      </c>
      <c r="C505" s="684"/>
      <c r="D505" s="684"/>
      <c r="E505" s="685"/>
      <c r="F505" s="686" t="s">
        <v>34</v>
      </c>
      <c r="G505" s="687"/>
      <c r="H505" s="687"/>
      <c r="I505" s="687"/>
      <c r="J505" s="688"/>
      <c r="K505" s="667" t="s">
        <v>35</v>
      </c>
      <c r="L505" s="2"/>
      <c r="M505" s="567" t="s">
        <v>33</v>
      </c>
      <c r="N505" s="570" t="s">
        <v>24</v>
      </c>
      <c r="O505" s="571"/>
      <c r="P505" s="571"/>
      <c r="Q505" s="572"/>
      <c r="R505" s="573" t="s">
        <v>34</v>
      </c>
      <c r="S505" s="574"/>
      <c r="T505" s="574"/>
      <c r="U505" s="574"/>
      <c r="V505" s="575"/>
      <c r="W505" s="544" t="s">
        <v>35</v>
      </c>
      <c r="X505" s="2"/>
      <c r="Y505" s="567" t="s">
        <v>33</v>
      </c>
      <c r="Z505" s="570" t="s">
        <v>24</v>
      </c>
      <c r="AA505" s="571"/>
      <c r="AB505" s="571"/>
      <c r="AC505" s="572"/>
      <c r="AD505" s="573" t="s">
        <v>34</v>
      </c>
      <c r="AE505" s="574"/>
      <c r="AF505" s="574"/>
      <c r="AG505" s="574"/>
      <c r="AH505" s="575"/>
      <c r="AI505" s="544" t="s">
        <v>35</v>
      </c>
    </row>
    <row r="506" spans="1:35" ht="13.5" customHeight="1" x14ac:dyDescent="0.15">
      <c r="A506" s="696"/>
      <c r="B506" s="669" t="s">
        <v>28</v>
      </c>
      <c r="C506" s="667" t="s">
        <v>29</v>
      </c>
      <c r="D506" s="669" t="s">
        <v>25</v>
      </c>
      <c r="E506" s="678" t="s">
        <v>31</v>
      </c>
      <c r="F506" s="679" t="s">
        <v>36</v>
      </c>
      <c r="G506" s="680"/>
      <c r="H506" s="216"/>
      <c r="I506" s="667" t="s">
        <v>37</v>
      </c>
      <c r="J506" s="669" t="s">
        <v>38</v>
      </c>
      <c r="K506" s="668"/>
      <c r="L506" s="2"/>
      <c r="M506" s="568"/>
      <c r="N506" s="546" t="s">
        <v>28</v>
      </c>
      <c r="O506" s="544" t="s">
        <v>29</v>
      </c>
      <c r="P506" s="546" t="s">
        <v>25</v>
      </c>
      <c r="Q506" s="582" t="s">
        <v>31</v>
      </c>
      <c r="R506" s="540" t="s">
        <v>36</v>
      </c>
      <c r="S506" s="541"/>
      <c r="T506" s="135"/>
      <c r="U506" s="544" t="s">
        <v>37</v>
      </c>
      <c r="V506" s="546" t="s">
        <v>38</v>
      </c>
      <c r="W506" s="545"/>
      <c r="X506" s="2"/>
      <c r="Y506" s="568"/>
      <c r="Z506" s="546" t="s">
        <v>28</v>
      </c>
      <c r="AA506" s="544" t="s">
        <v>29</v>
      </c>
      <c r="AB506" s="546" t="s">
        <v>25</v>
      </c>
      <c r="AC506" s="582" t="s">
        <v>31</v>
      </c>
      <c r="AD506" s="540" t="s">
        <v>36</v>
      </c>
      <c r="AE506" s="541"/>
      <c r="AF506" s="135"/>
      <c r="AG506" s="544" t="s">
        <v>37</v>
      </c>
      <c r="AH506" s="546" t="s">
        <v>38</v>
      </c>
      <c r="AI506" s="545"/>
    </row>
    <row r="507" spans="1:35" x14ac:dyDescent="0.15">
      <c r="A507" s="696"/>
      <c r="B507" s="669"/>
      <c r="C507" s="668"/>
      <c r="D507" s="669"/>
      <c r="E507" s="669"/>
      <c r="F507" s="681"/>
      <c r="G507" s="682"/>
      <c r="H507" s="217"/>
      <c r="I507" s="668"/>
      <c r="J507" s="669"/>
      <c r="K507" s="668"/>
      <c r="L507" s="2"/>
      <c r="M507" s="568"/>
      <c r="N507" s="546"/>
      <c r="O507" s="545"/>
      <c r="P507" s="546"/>
      <c r="Q507" s="546"/>
      <c r="R507" s="542"/>
      <c r="S507" s="543"/>
      <c r="T507" s="136"/>
      <c r="U507" s="545"/>
      <c r="V507" s="546"/>
      <c r="W507" s="545"/>
      <c r="X507" s="2"/>
      <c r="Y507" s="568"/>
      <c r="Z507" s="546"/>
      <c r="AA507" s="545"/>
      <c r="AB507" s="546"/>
      <c r="AC507" s="546"/>
      <c r="AD507" s="542"/>
      <c r="AE507" s="543"/>
      <c r="AF507" s="136"/>
      <c r="AG507" s="545"/>
      <c r="AH507" s="546"/>
      <c r="AI507" s="545"/>
    </row>
    <row r="508" spans="1:35" ht="23.25" customHeight="1" x14ac:dyDescent="0.15">
      <c r="A508" s="696"/>
      <c r="B508" s="218" t="s">
        <v>13</v>
      </c>
      <c r="C508" s="219" t="s">
        <v>30</v>
      </c>
      <c r="D508" s="218" t="s">
        <v>14</v>
      </c>
      <c r="E508" s="218" t="s">
        <v>40</v>
      </c>
      <c r="F508" s="665" t="s">
        <v>15</v>
      </c>
      <c r="G508" s="666"/>
      <c r="H508" s="220"/>
      <c r="I508" s="219" t="s">
        <v>30</v>
      </c>
      <c r="J508" s="218" t="s">
        <v>40</v>
      </c>
      <c r="K508" s="218" t="s">
        <v>40</v>
      </c>
      <c r="L508" s="2"/>
      <c r="M508" s="568"/>
      <c r="N508" s="137" t="s">
        <v>152</v>
      </c>
      <c r="O508" s="138" t="s">
        <v>30</v>
      </c>
      <c r="P508" s="137" t="s">
        <v>14</v>
      </c>
      <c r="Q508" s="137" t="s">
        <v>40</v>
      </c>
      <c r="R508" s="549" t="s">
        <v>15</v>
      </c>
      <c r="S508" s="550"/>
      <c r="T508" s="139"/>
      <c r="U508" s="138" t="s">
        <v>30</v>
      </c>
      <c r="V508" s="137" t="s">
        <v>40</v>
      </c>
      <c r="W508" s="137" t="s">
        <v>40</v>
      </c>
      <c r="X508" s="2"/>
      <c r="Y508" s="568"/>
      <c r="Z508" s="137" t="s">
        <v>152</v>
      </c>
      <c r="AA508" s="138" t="s">
        <v>30</v>
      </c>
      <c r="AB508" s="137" t="s">
        <v>14</v>
      </c>
      <c r="AC508" s="137" t="s">
        <v>40</v>
      </c>
      <c r="AD508" s="549" t="s">
        <v>15</v>
      </c>
      <c r="AE508" s="550"/>
      <c r="AF508" s="139"/>
      <c r="AG508" s="138" t="s">
        <v>30</v>
      </c>
      <c r="AH508" s="137" t="s">
        <v>40</v>
      </c>
      <c r="AI508" s="137" t="s">
        <v>40</v>
      </c>
    </row>
    <row r="509" spans="1:35" ht="15.75" customHeight="1" thickBot="1" x14ac:dyDescent="0.2">
      <c r="A509" s="697"/>
      <c r="B509" s="221" t="s">
        <v>16</v>
      </c>
      <c r="C509" s="221" t="s">
        <v>17</v>
      </c>
      <c r="D509" s="221" t="s">
        <v>18</v>
      </c>
      <c r="E509" s="221" t="s">
        <v>19</v>
      </c>
      <c r="F509" s="222"/>
      <c r="G509" s="223" t="s">
        <v>20</v>
      </c>
      <c r="H509" s="223"/>
      <c r="I509" s="221" t="s">
        <v>21</v>
      </c>
      <c r="J509" s="221" t="s">
        <v>22</v>
      </c>
      <c r="K509" s="223" t="s">
        <v>23</v>
      </c>
      <c r="L509" s="2"/>
      <c r="M509" s="569"/>
      <c r="N509" s="122" t="s">
        <v>16</v>
      </c>
      <c r="O509" s="122" t="s">
        <v>17</v>
      </c>
      <c r="P509" s="122" t="s">
        <v>18</v>
      </c>
      <c r="Q509" s="122" t="s">
        <v>19</v>
      </c>
      <c r="R509" s="140"/>
      <c r="S509" s="141" t="s">
        <v>20</v>
      </c>
      <c r="T509" s="141"/>
      <c r="U509" s="122" t="s">
        <v>21</v>
      </c>
      <c r="V509" s="122" t="s">
        <v>22</v>
      </c>
      <c r="W509" s="141" t="s">
        <v>23</v>
      </c>
      <c r="X509" s="2"/>
      <c r="Y509" s="569"/>
      <c r="Z509" s="122" t="s">
        <v>16</v>
      </c>
      <c r="AA509" s="122" t="s">
        <v>17</v>
      </c>
      <c r="AB509" s="122" t="s">
        <v>18</v>
      </c>
      <c r="AC509" s="122" t="s">
        <v>19</v>
      </c>
      <c r="AD509" s="140"/>
      <c r="AE509" s="141" t="s">
        <v>20</v>
      </c>
      <c r="AF509" s="141"/>
      <c r="AG509" s="122" t="s">
        <v>21</v>
      </c>
      <c r="AH509" s="122" t="s">
        <v>22</v>
      </c>
      <c r="AI509" s="141" t="s">
        <v>23</v>
      </c>
    </row>
    <row r="510" spans="1:35" ht="30" customHeight="1" x14ac:dyDescent="0.15">
      <c r="A510" s="224" t="s">
        <v>83</v>
      </c>
      <c r="B510" s="225">
        <v>33</v>
      </c>
      <c r="C510" s="226">
        <v>1296</v>
      </c>
      <c r="D510" s="225">
        <v>100</v>
      </c>
      <c r="E510" s="228">
        <f t="shared" ref="E510:E521" si="279">ROUNDDOWN(B510*C510*((185-D510)/100),2)</f>
        <v>36352.800000000003</v>
      </c>
      <c r="F510" s="229" t="s">
        <v>85</v>
      </c>
      <c r="G510" s="230">
        <v>2439</v>
      </c>
      <c r="H510" s="230"/>
      <c r="I510" s="226">
        <v>16.87</v>
      </c>
      <c r="J510" s="228">
        <f t="shared" ref="J510:J521" si="280">ROUNDDOWN(G510*I510,2)</f>
        <v>41145.93</v>
      </c>
      <c r="K510" s="231">
        <f t="shared" ref="K510:K521" si="281">ROUNDDOWN(J510+E510,2)</f>
        <v>77498.73</v>
      </c>
      <c r="L510" s="2"/>
      <c r="M510" s="142" t="s">
        <v>83</v>
      </c>
      <c r="N510" s="143">
        <v>33</v>
      </c>
      <c r="O510" s="123">
        <v>2008.8</v>
      </c>
      <c r="P510" s="163">
        <v>100</v>
      </c>
      <c r="Q510" s="98">
        <f t="shared" ref="Q510:Q521" si="282">ROUNDDOWN(N510*O510*((185-P510)/100),2)</f>
        <v>56346.84</v>
      </c>
      <c r="R510" s="145" t="s">
        <v>85</v>
      </c>
      <c r="S510" s="146">
        <v>2439</v>
      </c>
      <c r="T510" s="146"/>
      <c r="U510" s="124">
        <v>11.87</v>
      </c>
      <c r="V510" s="98">
        <f t="shared" ref="V510:V521" si="283">ROUNDDOWN(S510*U510,2)</f>
        <v>28950.93</v>
      </c>
      <c r="W510" s="147">
        <f t="shared" ref="W510:W521" si="284">ROUNDDOWN(V510+Q510,2)</f>
        <v>85297.77</v>
      </c>
      <c r="X510" s="2"/>
      <c r="Y510" s="142" t="s">
        <v>83</v>
      </c>
      <c r="Z510" s="143">
        <v>33</v>
      </c>
      <c r="AA510" s="123">
        <v>2008.8</v>
      </c>
      <c r="AB510" s="163">
        <v>100</v>
      </c>
      <c r="AC510" s="98">
        <f t="shared" ref="AC510:AC521" si="285">ROUNDDOWN(Z510*AA510*((185-AB510)/100),2)</f>
        <v>56346.84</v>
      </c>
      <c r="AD510" s="145" t="s">
        <v>85</v>
      </c>
      <c r="AE510" s="146">
        <v>2439</v>
      </c>
      <c r="AF510" s="146"/>
      <c r="AG510" s="124">
        <v>11.87</v>
      </c>
      <c r="AH510" s="98">
        <f t="shared" ref="AH510:AH521" si="286">ROUNDDOWN(AE510*AG510,2)</f>
        <v>28950.93</v>
      </c>
      <c r="AI510" s="147">
        <f t="shared" ref="AI510:AI521" si="287">ROUNDDOWN(AH510+AC510,2)</f>
        <v>85297.77</v>
      </c>
    </row>
    <row r="511" spans="1:35" ht="30" customHeight="1" x14ac:dyDescent="0.15">
      <c r="A511" s="232" t="s">
        <v>72</v>
      </c>
      <c r="B511" s="233">
        <f t="shared" ref="B511:B521" si="288">B510</f>
        <v>33</v>
      </c>
      <c r="C511" s="234">
        <f t="shared" ref="C511:C521" si="289">C510</f>
        <v>1296</v>
      </c>
      <c r="D511" s="235">
        <f t="shared" ref="D511:D521" si="290">D510</f>
        <v>100</v>
      </c>
      <c r="E511" s="228">
        <f t="shared" si="279"/>
        <v>36352.800000000003</v>
      </c>
      <c r="F511" s="229" t="s">
        <v>112</v>
      </c>
      <c r="G511" s="230">
        <v>2525</v>
      </c>
      <c r="H511" s="230"/>
      <c r="I511" s="234">
        <f>I510</f>
        <v>16.87</v>
      </c>
      <c r="J511" s="228">
        <f t="shared" si="280"/>
        <v>42596.75</v>
      </c>
      <c r="K511" s="231">
        <f t="shared" si="281"/>
        <v>78949.55</v>
      </c>
      <c r="L511" s="2"/>
      <c r="M511" s="148" t="s">
        <v>72</v>
      </c>
      <c r="N511" s="149">
        <f t="shared" ref="N511:N521" si="291">N510</f>
        <v>33</v>
      </c>
      <c r="O511" s="125">
        <f t="shared" ref="O511:O521" si="292">O510</f>
        <v>2008.8</v>
      </c>
      <c r="P511" s="106">
        <f t="shared" ref="P511:P521" si="293">P510</f>
        <v>100</v>
      </c>
      <c r="Q511" s="98">
        <f t="shared" si="282"/>
        <v>56346.84</v>
      </c>
      <c r="R511" s="145" t="s">
        <v>112</v>
      </c>
      <c r="S511" s="146">
        <v>2525</v>
      </c>
      <c r="T511" s="146"/>
      <c r="U511" s="125">
        <f>U510</f>
        <v>11.87</v>
      </c>
      <c r="V511" s="98">
        <f t="shared" si="283"/>
        <v>29971.75</v>
      </c>
      <c r="W511" s="147">
        <f t="shared" si="284"/>
        <v>86318.59</v>
      </c>
      <c r="X511" s="2"/>
      <c r="Y511" s="148" t="s">
        <v>72</v>
      </c>
      <c r="Z511" s="149">
        <f t="shared" ref="Z511:Z521" si="294">Z510</f>
        <v>33</v>
      </c>
      <c r="AA511" s="125">
        <f t="shared" ref="AA511:AA521" si="295">AA510</f>
        <v>2008.8</v>
      </c>
      <c r="AB511" s="106">
        <f t="shared" ref="AB511:AB521" si="296">AB510</f>
        <v>100</v>
      </c>
      <c r="AC511" s="98">
        <f t="shared" si="285"/>
        <v>56346.84</v>
      </c>
      <c r="AD511" s="145" t="s">
        <v>112</v>
      </c>
      <c r="AE511" s="146">
        <v>2525</v>
      </c>
      <c r="AF511" s="146"/>
      <c r="AG511" s="125">
        <f>AG510</f>
        <v>11.87</v>
      </c>
      <c r="AH511" s="98">
        <f t="shared" si="286"/>
        <v>29971.75</v>
      </c>
      <c r="AI511" s="147">
        <f t="shared" si="287"/>
        <v>86318.59</v>
      </c>
    </row>
    <row r="512" spans="1:35" ht="30" customHeight="1" x14ac:dyDescent="0.15">
      <c r="A512" s="232" t="s">
        <v>73</v>
      </c>
      <c r="B512" s="233">
        <f t="shared" si="288"/>
        <v>33</v>
      </c>
      <c r="C512" s="234">
        <f t="shared" si="289"/>
        <v>1296</v>
      </c>
      <c r="D512" s="235">
        <f t="shared" si="290"/>
        <v>100</v>
      </c>
      <c r="E512" s="228">
        <f t="shared" si="279"/>
        <v>36352.800000000003</v>
      </c>
      <c r="F512" s="229" t="s">
        <v>9</v>
      </c>
      <c r="G512" s="230">
        <v>2253</v>
      </c>
      <c r="H512" s="230"/>
      <c r="I512" s="234">
        <f>I511</f>
        <v>16.87</v>
      </c>
      <c r="J512" s="228">
        <f t="shared" si="280"/>
        <v>38008.11</v>
      </c>
      <c r="K512" s="231">
        <f t="shared" si="281"/>
        <v>74360.91</v>
      </c>
      <c r="L512" s="2"/>
      <c r="M512" s="148" t="s">
        <v>73</v>
      </c>
      <c r="N512" s="149">
        <f t="shared" si="291"/>
        <v>33</v>
      </c>
      <c r="O512" s="125">
        <f t="shared" si="292"/>
        <v>2008.8</v>
      </c>
      <c r="P512" s="106">
        <f t="shared" si="293"/>
        <v>100</v>
      </c>
      <c r="Q512" s="98">
        <f t="shared" si="282"/>
        <v>56346.84</v>
      </c>
      <c r="R512" s="145" t="s">
        <v>9</v>
      </c>
      <c r="S512" s="146">
        <v>2253</v>
      </c>
      <c r="T512" s="146"/>
      <c r="U512" s="125">
        <f>U511</f>
        <v>11.87</v>
      </c>
      <c r="V512" s="98">
        <f t="shared" si="283"/>
        <v>26743.11</v>
      </c>
      <c r="W512" s="147">
        <f t="shared" si="284"/>
        <v>83089.95</v>
      </c>
      <c r="X512" s="2"/>
      <c r="Y512" s="148" t="s">
        <v>73</v>
      </c>
      <c r="Z512" s="149">
        <f t="shared" si="294"/>
        <v>33</v>
      </c>
      <c r="AA512" s="125">
        <f t="shared" si="295"/>
        <v>2008.8</v>
      </c>
      <c r="AB512" s="106">
        <f t="shared" si="296"/>
        <v>100</v>
      </c>
      <c r="AC512" s="98">
        <f t="shared" si="285"/>
        <v>56346.84</v>
      </c>
      <c r="AD512" s="145" t="s">
        <v>9</v>
      </c>
      <c r="AE512" s="146">
        <v>2253</v>
      </c>
      <c r="AF512" s="146"/>
      <c r="AG512" s="125">
        <f>AG511</f>
        <v>11.87</v>
      </c>
      <c r="AH512" s="98">
        <f t="shared" si="286"/>
        <v>26743.11</v>
      </c>
      <c r="AI512" s="147">
        <f t="shared" si="287"/>
        <v>83089.95</v>
      </c>
    </row>
    <row r="513" spans="1:35" ht="30" customHeight="1" x14ac:dyDescent="0.15">
      <c r="A513" s="232" t="s">
        <v>74</v>
      </c>
      <c r="B513" s="233">
        <f t="shared" si="288"/>
        <v>33</v>
      </c>
      <c r="C513" s="234">
        <f t="shared" si="289"/>
        <v>1296</v>
      </c>
      <c r="D513" s="235">
        <f t="shared" si="290"/>
        <v>100</v>
      </c>
      <c r="E513" s="228">
        <f t="shared" si="279"/>
        <v>36352.800000000003</v>
      </c>
      <c r="F513" s="229" t="s">
        <v>9</v>
      </c>
      <c r="G513" s="230">
        <v>1462</v>
      </c>
      <c r="H513" s="230"/>
      <c r="I513" s="234">
        <f>I512</f>
        <v>16.87</v>
      </c>
      <c r="J513" s="228">
        <f t="shared" si="280"/>
        <v>24663.94</v>
      </c>
      <c r="K513" s="231">
        <f t="shared" si="281"/>
        <v>61016.74</v>
      </c>
      <c r="L513" s="2"/>
      <c r="M513" s="148" t="s">
        <v>74</v>
      </c>
      <c r="N513" s="149">
        <f t="shared" si="291"/>
        <v>33</v>
      </c>
      <c r="O513" s="125">
        <f t="shared" si="292"/>
        <v>2008.8</v>
      </c>
      <c r="P513" s="106">
        <f t="shared" si="293"/>
        <v>100</v>
      </c>
      <c r="Q513" s="98">
        <f t="shared" si="282"/>
        <v>56346.84</v>
      </c>
      <c r="R513" s="145" t="s">
        <v>9</v>
      </c>
      <c r="S513" s="146">
        <v>1462</v>
      </c>
      <c r="T513" s="146"/>
      <c r="U513" s="125">
        <f>U512</f>
        <v>11.87</v>
      </c>
      <c r="V513" s="98">
        <f t="shared" si="283"/>
        <v>17353.939999999999</v>
      </c>
      <c r="W513" s="147">
        <f t="shared" si="284"/>
        <v>73700.78</v>
      </c>
      <c r="X513" s="2"/>
      <c r="Y513" s="148" t="s">
        <v>74</v>
      </c>
      <c r="Z513" s="149">
        <f t="shared" si="294"/>
        <v>33</v>
      </c>
      <c r="AA513" s="125">
        <f t="shared" si="295"/>
        <v>2008.8</v>
      </c>
      <c r="AB513" s="106">
        <f t="shared" si="296"/>
        <v>100</v>
      </c>
      <c r="AC513" s="98">
        <f t="shared" si="285"/>
        <v>56346.84</v>
      </c>
      <c r="AD513" s="145" t="s">
        <v>9</v>
      </c>
      <c r="AE513" s="146">
        <v>1462</v>
      </c>
      <c r="AF513" s="146"/>
      <c r="AG513" s="125">
        <f>AG512</f>
        <v>11.87</v>
      </c>
      <c r="AH513" s="98">
        <f t="shared" si="286"/>
        <v>17353.939999999999</v>
      </c>
      <c r="AI513" s="147">
        <f t="shared" si="287"/>
        <v>73700.78</v>
      </c>
    </row>
    <row r="514" spans="1:35" ht="30" customHeight="1" x14ac:dyDescent="0.15">
      <c r="A514" s="232" t="s">
        <v>75</v>
      </c>
      <c r="B514" s="233">
        <f t="shared" si="288"/>
        <v>33</v>
      </c>
      <c r="C514" s="234">
        <f t="shared" si="289"/>
        <v>1296</v>
      </c>
      <c r="D514" s="235">
        <f t="shared" si="290"/>
        <v>100</v>
      </c>
      <c r="E514" s="228">
        <f t="shared" si="279"/>
        <v>36352.800000000003</v>
      </c>
      <c r="F514" s="229" t="s">
        <v>9</v>
      </c>
      <c r="G514" s="230">
        <v>1663</v>
      </c>
      <c r="H514" s="230"/>
      <c r="I514" s="234">
        <f>I513</f>
        <v>16.87</v>
      </c>
      <c r="J514" s="228">
        <f t="shared" si="280"/>
        <v>28054.81</v>
      </c>
      <c r="K514" s="231">
        <f t="shared" si="281"/>
        <v>64407.61</v>
      </c>
      <c r="L514" s="2"/>
      <c r="M514" s="148" t="s">
        <v>75</v>
      </c>
      <c r="N514" s="149">
        <f t="shared" si="291"/>
        <v>33</v>
      </c>
      <c r="O514" s="125">
        <f t="shared" si="292"/>
        <v>2008.8</v>
      </c>
      <c r="P514" s="106">
        <f t="shared" si="293"/>
        <v>100</v>
      </c>
      <c r="Q514" s="98">
        <f t="shared" si="282"/>
        <v>56346.84</v>
      </c>
      <c r="R514" s="145" t="s">
        <v>9</v>
      </c>
      <c r="S514" s="146">
        <v>1663</v>
      </c>
      <c r="T514" s="146"/>
      <c r="U514" s="125">
        <f>U513</f>
        <v>11.87</v>
      </c>
      <c r="V514" s="98">
        <f t="shared" si="283"/>
        <v>19739.810000000001</v>
      </c>
      <c r="W514" s="147">
        <f t="shared" si="284"/>
        <v>76086.649999999994</v>
      </c>
      <c r="X514" s="2"/>
      <c r="Y514" s="148" t="s">
        <v>75</v>
      </c>
      <c r="Z514" s="149">
        <f t="shared" si="294"/>
        <v>33</v>
      </c>
      <c r="AA514" s="125">
        <f t="shared" si="295"/>
        <v>2008.8</v>
      </c>
      <c r="AB514" s="106">
        <f t="shared" si="296"/>
        <v>100</v>
      </c>
      <c r="AC514" s="98">
        <f t="shared" si="285"/>
        <v>56346.84</v>
      </c>
      <c r="AD514" s="145" t="s">
        <v>9</v>
      </c>
      <c r="AE514" s="146">
        <v>1663</v>
      </c>
      <c r="AF514" s="146"/>
      <c r="AG514" s="125">
        <f>AG513</f>
        <v>11.87</v>
      </c>
      <c r="AH514" s="98">
        <f t="shared" si="286"/>
        <v>19739.810000000001</v>
      </c>
      <c r="AI514" s="147">
        <f t="shared" si="287"/>
        <v>76086.649999999994</v>
      </c>
    </row>
    <row r="515" spans="1:35" ht="30" customHeight="1" x14ac:dyDescent="0.15">
      <c r="A515" s="232" t="s">
        <v>76</v>
      </c>
      <c r="B515" s="233">
        <f t="shared" si="288"/>
        <v>33</v>
      </c>
      <c r="C515" s="234">
        <f t="shared" si="289"/>
        <v>1296</v>
      </c>
      <c r="D515" s="235">
        <f t="shared" si="290"/>
        <v>100</v>
      </c>
      <c r="E515" s="228">
        <f t="shared" si="279"/>
        <v>36352.800000000003</v>
      </c>
      <c r="F515" s="229" t="s">
        <v>9</v>
      </c>
      <c r="G515" s="230">
        <v>1894</v>
      </c>
      <c r="H515" s="230"/>
      <c r="I515" s="234">
        <f>I514</f>
        <v>16.87</v>
      </c>
      <c r="J515" s="228">
        <f t="shared" si="280"/>
        <v>31951.78</v>
      </c>
      <c r="K515" s="231">
        <f t="shared" si="281"/>
        <v>68304.58</v>
      </c>
      <c r="L515" s="2"/>
      <c r="M515" s="148" t="s">
        <v>76</v>
      </c>
      <c r="N515" s="149">
        <f t="shared" si="291"/>
        <v>33</v>
      </c>
      <c r="O515" s="125">
        <f t="shared" si="292"/>
        <v>2008.8</v>
      </c>
      <c r="P515" s="106">
        <f t="shared" si="293"/>
        <v>100</v>
      </c>
      <c r="Q515" s="98">
        <f t="shared" si="282"/>
        <v>56346.84</v>
      </c>
      <c r="R515" s="145" t="s">
        <v>9</v>
      </c>
      <c r="S515" s="146">
        <v>1894</v>
      </c>
      <c r="T515" s="146"/>
      <c r="U515" s="125">
        <f>U514</f>
        <v>11.87</v>
      </c>
      <c r="V515" s="98">
        <f t="shared" si="283"/>
        <v>22481.78</v>
      </c>
      <c r="W515" s="147">
        <f t="shared" si="284"/>
        <v>78828.62</v>
      </c>
      <c r="X515" s="2"/>
      <c r="Y515" s="148" t="s">
        <v>76</v>
      </c>
      <c r="Z515" s="149">
        <f t="shared" si="294"/>
        <v>33</v>
      </c>
      <c r="AA515" s="125">
        <f t="shared" si="295"/>
        <v>2008.8</v>
      </c>
      <c r="AB515" s="106">
        <f t="shared" si="296"/>
        <v>100</v>
      </c>
      <c r="AC515" s="98">
        <f t="shared" si="285"/>
        <v>56346.84</v>
      </c>
      <c r="AD515" s="145" t="s">
        <v>9</v>
      </c>
      <c r="AE515" s="146">
        <v>1894</v>
      </c>
      <c r="AF515" s="146"/>
      <c r="AG515" s="125">
        <f>AG514</f>
        <v>11.87</v>
      </c>
      <c r="AH515" s="98">
        <f t="shared" si="286"/>
        <v>22481.78</v>
      </c>
      <c r="AI515" s="147">
        <f t="shared" si="287"/>
        <v>78828.62</v>
      </c>
    </row>
    <row r="516" spans="1:35" ht="30" customHeight="1" x14ac:dyDescent="0.15">
      <c r="A516" s="232" t="s">
        <v>77</v>
      </c>
      <c r="B516" s="233">
        <f t="shared" si="288"/>
        <v>33</v>
      </c>
      <c r="C516" s="234">
        <f t="shared" si="289"/>
        <v>1296</v>
      </c>
      <c r="D516" s="235">
        <f t="shared" si="290"/>
        <v>100</v>
      </c>
      <c r="E516" s="228">
        <f t="shared" si="279"/>
        <v>36352.800000000003</v>
      </c>
      <c r="F516" s="229" t="s">
        <v>71</v>
      </c>
      <c r="G516" s="230">
        <v>3158</v>
      </c>
      <c r="H516" s="230"/>
      <c r="I516" s="226">
        <v>18.29</v>
      </c>
      <c r="J516" s="228">
        <f t="shared" si="280"/>
        <v>57759.82</v>
      </c>
      <c r="K516" s="231">
        <f t="shared" si="281"/>
        <v>94112.62</v>
      </c>
      <c r="L516" s="2"/>
      <c r="M516" s="148" t="s">
        <v>77</v>
      </c>
      <c r="N516" s="149">
        <f t="shared" si="291"/>
        <v>33</v>
      </c>
      <c r="O516" s="125">
        <f t="shared" si="292"/>
        <v>2008.8</v>
      </c>
      <c r="P516" s="106">
        <f t="shared" si="293"/>
        <v>100</v>
      </c>
      <c r="Q516" s="98">
        <f t="shared" si="282"/>
        <v>56346.84</v>
      </c>
      <c r="R516" s="145" t="s">
        <v>71</v>
      </c>
      <c r="S516" s="146">
        <v>3158</v>
      </c>
      <c r="T516" s="146"/>
      <c r="U516" s="124">
        <v>12.78</v>
      </c>
      <c r="V516" s="98">
        <f t="shared" si="283"/>
        <v>40359.24</v>
      </c>
      <c r="W516" s="147">
        <f t="shared" si="284"/>
        <v>96706.08</v>
      </c>
      <c r="X516" s="2"/>
      <c r="Y516" s="148" t="s">
        <v>77</v>
      </c>
      <c r="Z516" s="149">
        <f t="shared" si="294"/>
        <v>33</v>
      </c>
      <c r="AA516" s="125">
        <f t="shared" si="295"/>
        <v>2008.8</v>
      </c>
      <c r="AB516" s="106">
        <f t="shared" si="296"/>
        <v>100</v>
      </c>
      <c r="AC516" s="98">
        <f t="shared" si="285"/>
        <v>56346.84</v>
      </c>
      <c r="AD516" s="145" t="s">
        <v>71</v>
      </c>
      <c r="AE516" s="146">
        <v>3158</v>
      </c>
      <c r="AF516" s="146"/>
      <c r="AG516" s="124">
        <v>12.78</v>
      </c>
      <c r="AH516" s="98">
        <f t="shared" si="286"/>
        <v>40359.24</v>
      </c>
      <c r="AI516" s="147">
        <f t="shared" si="287"/>
        <v>96706.08</v>
      </c>
    </row>
    <row r="517" spans="1:35" ht="30" customHeight="1" x14ac:dyDescent="0.15">
      <c r="A517" s="232" t="s">
        <v>78</v>
      </c>
      <c r="B517" s="233">
        <f t="shared" si="288"/>
        <v>33</v>
      </c>
      <c r="C517" s="234">
        <f t="shared" si="289"/>
        <v>1296</v>
      </c>
      <c r="D517" s="235">
        <f t="shared" si="290"/>
        <v>100</v>
      </c>
      <c r="E517" s="228">
        <f t="shared" si="279"/>
        <v>36352.800000000003</v>
      </c>
      <c r="F517" s="229" t="s">
        <v>71</v>
      </c>
      <c r="G517" s="230">
        <v>2698</v>
      </c>
      <c r="H517" s="230"/>
      <c r="I517" s="234">
        <f>I516</f>
        <v>18.29</v>
      </c>
      <c r="J517" s="228">
        <f t="shared" si="280"/>
        <v>49346.42</v>
      </c>
      <c r="K517" s="231">
        <f t="shared" si="281"/>
        <v>85699.22</v>
      </c>
      <c r="L517" s="2"/>
      <c r="M517" s="148" t="s">
        <v>78</v>
      </c>
      <c r="N517" s="149">
        <f t="shared" si="291"/>
        <v>33</v>
      </c>
      <c r="O517" s="125">
        <f t="shared" si="292"/>
        <v>2008.8</v>
      </c>
      <c r="P517" s="106">
        <f t="shared" si="293"/>
        <v>100</v>
      </c>
      <c r="Q517" s="98">
        <f t="shared" si="282"/>
        <v>56346.84</v>
      </c>
      <c r="R517" s="145" t="s">
        <v>71</v>
      </c>
      <c r="S517" s="146">
        <v>2698</v>
      </c>
      <c r="T517" s="146"/>
      <c r="U517" s="125">
        <f>U516</f>
        <v>12.78</v>
      </c>
      <c r="V517" s="98">
        <f t="shared" si="283"/>
        <v>34480.44</v>
      </c>
      <c r="W517" s="147">
        <f t="shared" si="284"/>
        <v>90827.28</v>
      </c>
      <c r="X517" s="2"/>
      <c r="Y517" s="148" t="s">
        <v>78</v>
      </c>
      <c r="Z517" s="149">
        <f t="shared" si="294"/>
        <v>33</v>
      </c>
      <c r="AA517" s="125">
        <f t="shared" si="295"/>
        <v>2008.8</v>
      </c>
      <c r="AB517" s="106">
        <f t="shared" si="296"/>
        <v>100</v>
      </c>
      <c r="AC517" s="98">
        <f t="shared" si="285"/>
        <v>56346.84</v>
      </c>
      <c r="AD517" s="145" t="s">
        <v>71</v>
      </c>
      <c r="AE517" s="146">
        <v>2698</v>
      </c>
      <c r="AF517" s="146"/>
      <c r="AG517" s="125">
        <f>AG516</f>
        <v>12.78</v>
      </c>
      <c r="AH517" s="98">
        <f t="shared" si="286"/>
        <v>34480.44</v>
      </c>
      <c r="AI517" s="147">
        <f t="shared" si="287"/>
        <v>90827.28</v>
      </c>
    </row>
    <row r="518" spans="1:35" ht="30" customHeight="1" x14ac:dyDescent="0.15">
      <c r="A518" s="232" t="s">
        <v>79</v>
      </c>
      <c r="B518" s="233">
        <f t="shared" si="288"/>
        <v>33</v>
      </c>
      <c r="C518" s="234">
        <f t="shared" si="289"/>
        <v>1296</v>
      </c>
      <c r="D518" s="235">
        <f t="shared" si="290"/>
        <v>100</v>
      </c>
      <c r="E518" s="228">
        <f t="shared" si="279"/>
        <v>36352.800000000003</v>
      </c>
      <c r="F518" s="229" t="s">
        <v>71</v>
      </c>
      <c r="G518" s="230">
        <f>1832+458</f>
        <v>2290</v>
      </c>
      <c r="H518" s="230"/>
      <c r="I518" s="234">
        <f>I517</f>
        <v>18.29</v>
      </c>
      <c r="J518" s="228">
        <f t="shared" si="280"/>
        <v>41884.1</v>
      </c>
      <c r="K518" s="231">
        <f t="shared" si="281"/>
        <v>78236.899999999994</v>
      </c>
      <c r="L518" s="2"/>
      <c r="M518" s="148" t="s">
        <v>79</v>
      </c>
      <c r="N518" s="149">
        <f t="shared" si="291"/>
        <v>33</v>
      </c>
      <c r="O518" s="125">
        <f t="shared" si="292"/>
        <v>2008.8</v>
      </c>
      <c r="P518" s="106">
        <f t="shared" si="293"/>
        <v>100</v>
      </c>
      <c r="Q518" s="98">
        <f t="shared" si="282"/>
        <v>56346.84</v>
      </c>
      <c r="R518" s="145" t="s">
        <v>71</v>
      </c>
      <c r="S518" s="146">
        <f>1832+458</f>
        <v>2290</v>
      </c>
      <c r="T518" s="146"/>
      <c r="U518" s="125">
        <f>U517</f>
        <v>12.78</v>
      </c>
      <c r="V518" s="98">
        <f t="shared" si="283"/>
        <v>29266.2</v>
      </c>
      <c r="W518" s="147">
        <f t="shared" si="284"/>
        <v>85613.04</v>
      </c>
      <c r="X518" s="2"/>
      <c r="Y518" s="148" t="s">
        <v>79</v>
      </c>
      <c r="Z518" s="149">
        <f t="shared" si="294"/>
        <v>33</v>
      </c>
      <c r="AA518" s="125">
        <f t="shared" si="295"/>
        <v>2008.8</v>
      </c>
      <c r="AB518" s="106">
        <f t="shared" si="296"/>
        <v>100</v>
      </c>
      <c r="AC518" s="98">
        <f t="shared" si="285"/>
        <v>56346.84</v>
      </c>
      <c r="AD518" s="145" t="s">
        <v>71</v>
      </c>
      <c r="AE518" s="146">
        <f>1832+458</f>
        <v>2290</v>
      </c>
      <c r="AF518" s="146"/>
      <c r="AG518" s="125">
        <f>AG517</f>
        <v>12.78</v>
      </c>
      <c r="AH518" s="98">
        <f t="shared" si="286"/>
        <v>29266.2</v>
      </c>
      <c r="AI518" s="147">
        <f t="shared" si="287"/>
        <v>85613.04</v>
      </c>
    </row>
    <row r="519" spans="1:35" ht="30" customHeight="1" x14ac:dyDescent="0.15">
      <c r="A519" s="232" t="s">
        <v>80</v>
      </c>
      <c r="B519" s="233">
        <f t="shared" si="288"/>
        <v>33</v>
      </c>
      <c r="C519" s="234">
        <f t="shared" si="289"/>
        <v>1296</v>
      </c>
      <c r="D519" s="235">
        <f t="shared" si="290"/>
        <v>100</v>
      </c>
      <c r="E519" s="228">
        <f t="shared" si="279"/>
        <v>36352.800000000003</v>
      </c>
      <c r="F519" s="229" t="s">
        <v>9</v>
      </c>
      <c r="G519" s="230">
        <v>1668</v>
      </c>
      <c r="H519" s="230"/>
      <c r="I519" s="234">
        <f>I510</f>
        <v>16.87</v>
      </c>
      <c r="J519" s="228">
        <f t="shared" si="280"/>
        <v>28139.16</v>
      </c>
      <c r="K519" s="231">
        <f t="shared" si="281"/>
        <v>64491.96</v>
      </c>
      <c r="L519" s="2"/>
      <c r="M519" s="148" t="s">
        <v>80</v>
      </c>
      <c r="N519" s="149">
        <f t="shared" si="291"/>
        <v>33</v>
      </c>
      <c r="O519" s="125">
        <f t="shared" si="292"/>
        <v>2008.8</v>
      </c>
      <c r="P519" s="106">
        <f t="shared" si="293"/>
        <v>100</v>
      </c>
      <c r="Q519" s="98">
        <f t="shared" si="282"/>
        <v>56346.84</v>
      </c>
      <c r="R519" s="145" t="s">
        <v>9</v>
      </c>
      <c r="S519" s="146">
        <v>1668</v>
      </c>
      <c r="T519" s="146"/>
      <c r="U519" s="125">
        <f>U510</f>
        <v>11.87</v>
      </c>
      <c r="V519" s="98">
        <f t="shared" si="283"/>
        <v>19799.16</v>
      </c>
      <c r="W519" s="147">
        <f t="shared" si="284"/>
        <v>76146</v>
      </c>
      <c r="X519" s="2"/>
      <c r="Y519" s="148" t="s">
        <v>80</v>
      </c>
      <c r="Z519" s="149">
        <f t="shared" si="294"/>
        <v>33</v>
      </c>
      <c r="AA519" s="125">
        <f t="shared" si="295"/>
        <v>2008.8</v>
      </c>
      <c r="AB519" s="106">
        <f t="shared" si="296"/>
        <v>100</v>
      </c>
      <c r="AC519" s="98">
        <f t="shared" si="285"/>
        <v>56346.84</v>
      </c>
      <c r="AD519" s="145" t="s">
        <v>9</v>
      </c>
      <c r="AE519" s="146">
        <v>1668</v>
      </c>
      <c r="AF519" s="146"/>
      <c r="AG519" s="125">
        <f>AG510</f>
        <v>11.87</v>
      </c>
      <c r="AH519" s="98">
        <f t="shared" si="286"/>
        <v>19799.16</v>
      </c>
      <c r="AI519" s="147">
        <f t="shared" si="287"/>
        <v>76146</v>
      </c>
    </row>
    <row r="520" spans="1:35" ht="30" customHeight="1" x14ac:dyDescent="0.15">
      <c r="A520" s="232" t="s">
        <v>81</v>
      </c>
      <c r="B520" s="233">
        <f t="shared" si="288"/>
        <v>33</v>
      </c>
      <c r="C520" s="234">
        <f t="shared" si="289"/>
        <v>1296</v>
      </c>
      <c r="D520" s="235">
        <f t="shared" si="290"/>
        <v>100</v>
      </c>
      <c r="E520" s="228">
        <f t="shared" si="279"/>
        <v>36352.800000000003</v>
      </c>
      <c r="F520" s="229" t="s">
        <v>9</v>
      </c>
      <c r="G520" s="230">
        <v>1654</v>
      </c>
      <c r="H520" s="230"/>
      <c r="I520" s="236">
        <f>I519</f>
        <v>16.87</v>
      </c>
      <c r="J520" s="228">
        <f t="shared" si="280"/>
        <v>27902.98</v>
      </c>
      <c r="K520" s="231">
        <f t="shared" si="281"/>
        <v>64255.78</v>
      </c>
      <c r="L520" s="2"/>
      <c r="M520" s="148" t="s">
        <v>81</v>
      </c>
      <c r="N520" s="149">
        <f t="shared" si="291"/>
        <v>33</v>
      </c>
      <c r="O520" s="125">
        <f t="shared" si="292"/>
        <v>2008.8</v>
      </c>
      <c r="P520" s="106">
        <f t="shared" si="293"/>
        <v>100</v>
      </c>
      <c r="Q520" s="98">
        <f t="shared" si="282"/>
        <v>56346.84</v>
      </c>
      <c r="R520" s="145" t="s">
        <v>9</v>
      </c>
      <c r="S520" s="146">
        <v>1654</v>
      </c>
      <c r="T520" s="146"/>
      <c r="U520" s="127">
        <f>U519</f>
        <v>11.87</v>
      </c>
      <c r="V520" s="98">
        <f t="shared" si="283"/>
        <v>19632.98</v>
      </c>
      <c r="W520" s="147">
        <f t="shared" si="284"/>
        <v>75979.820000000007</v>
      </c>
      <c r="X520" s="2"/>
      <c r="Y520" s="148" t="s">
        <v>81</v>
      </c>
      <c r="Z520" s="149">
        <f t="shared" si="294"/>
        <v>33</v>
      </c>
      <c r="AA520" s="125">
        <f t="shared" si="295"/>
        <v>2008.8</v>
      </c>
      <c r="AB520" s="106">
        <f t="shared" si="296"/>
        <v>100</v>
      </c>
      <c r="AC520" s="98">
        <f t="shared" si="285"/>
        <v>56346.84</v>
      </c>
      <c r="AD520" s="145" t="s">
        <v>9</v>
      </c>
      <c r="AE520" s="146">
        <v>1654</v>
      </c>
      <c r="AF520" s="146"/>
      <c r="AG520" s="127">
        <f>AG519</f>
        <v>11.87</v>
      </c>
      <c r="AH520" s="98">
        <f t="shared" si="286"/>
        <v>19632.98</v>
      </c>
      <c r="AI520" s="147">
        <f t="shared" si="287"/>
        <v>75979.820000000007</v>
      </c>
    </row>
    <row r="521" spans="1:35" ht="30" customHeight="1" thickBot="1" x14ac:dyDescent="0.2">
      <c r="A521" s="237" t="s">
        <v>82</v>
      </c>
      <c r="B521" s="238">
        <f t="shared" si="288"/>
        <v>33</v>
      </c>
      <c r="C521" s="239">
        <f t="shared" si="289"/>
        <v>1296</v>
      </c>
      <c r="D521" s="238">
        <f t="shared" si="290"/>
        <v>100</v>
      </c>
      <c r="E521" s="240">
        <f t="shared" si="279"/>
        <v>36352.800000000003</v>
      </c>
      <c r="F521" s="241" t="s">
        <v>9</v>
      </c>
      <c r="G521" s="242">
        <v>1692</v>
      </c>
      <c r="H521" s="242"/>
      <c r="I521" s="239">
        <f>I520</f>
        <v>16.87</v>
      </c>
      <c r="J521" s="240">
        <f t="shared" si="280"/>
        <v>28544.04</v>
      </c>
      <c r="K521" s="243">
        <f t="shared" si="281"/>
        <v>64896.84</v>
      </c>
      <c r="L521" s="2"/>
      <c r="M521" s="150" t="s">
        <v>82</v>
      </c>
      <c r="N521" s="151">
        <f t="shared" si="291"/>
        <v>33</v>
      </c>
      <c r="O521" s="126">
        <f t="shared" si="292"/>
        <v>2008.8</v>
      </c>
      <c r="P521" s="152">
        <f t="shared" si="293"/>
        <v>100</v>
      </c>
      <c r="Q521" s="99">
        <f t="shared" si="282"/>
        <v>56346.84</v>
      </c>
      <c r="R521" s="153" t="s">
        <v>9</v>
      </c>
      <c r="S521" s="154">
        <v>1692</v>
      </c>
      <c r="T521" s="154"/>
      <c r="U521" s="126">
        <f>U520</f>
        <v>11.87</v>
      </c>
      <c r="V521" s="99">
        <f t="shared" si="283"/>
        <v>20084.04</v>
      </c>
      <c r="W521" s="155">
        <f t="shared" si="284"/>
        <v>76430.880000000005</v>
      </c>
      <c r="X521" s="2"/>
      <c r="Y521" s="150" t="s">
        <v>82</v>
      </c>
      <c r="Z521" s="151">
        <f t="shared" si="294"/>
        <v>33</v>
      </c>
      <c r="AA521" s="126">
        <f t="shared" si="295"/>
        <v>2008.8</v>
      </c>
      <c r="AB521" s="152">
        <f t="shared" si="296"/>
        <v>100</v>
      </c>
      <c r="AC521" s="99">
        <f t="shared" si="285"/>
        <v>56346.84</v>
      </c>
      <c r="AD521" s="153" t="s">
        <v>9</v>
      </c>
      <c r="AE521" s="154">
        <v>1692</v>
      </c>
      <c r="AF521" s="154"/>
      <c r="AG521" s="126">
        <f>AG520</f>
        <v>11.87</v>
      </c>
      <c r="AH521" s="99">
        <f t="shared" si="286"/>
        <v>20084.04</v>
      </c>
      <c r="AI521" s="155">
        <f t="shared" si="287"/>
        <v>76430.880000000005</v>
      </c>
    </row>
    <row r="522" spans="1:35" ht="30" customHeight="1" thickBot="1" x14ac:dyDescent="0.2">
      <c r="A522" s="251" t="s">
        <v>41</v>
      </c>
      <c r="B522" s="245"/>
      <c r="C522" s="245"/>
      <c r="D522" s="245"/>
      <c r="E522" s="246">
        <f>SUM(E510:E521)</f>
        <v>436233.59999999992</v>
      </c>
      <c r="F522" s="247"/>
      <c r="G522" s="248">
        <f>SUM(G510:G521)</f>
        <v>25396</v>
      </c>
      <c r="H522" s="248"/>
      <c r="I522" s="245"/>
      <c r="J522" s="246">
        <f>SUM(J510:J521)</f>
        <v>439997.83999999985</v>
      </c>
      <c r="K522" s="249">
        <f>SUM(K510:K521)</f>
        <v>876231.44</v>
      </c>
      <c r="L522" s="89" t="s">
        <v>113</v>
      </c>
      <c r="M522" s="164" t="s">
        <v>41</v>
      </c>
      <c r="N522" s="157"/>
      <c r="O522" s="157"/>
      <c r="P522" s="157"/>
      <c r="Q522" s="158">
        <f>SUM(Q510:Q521)</f>
        <v>676162.07999999973</v>
      </c>
      <c r="R522" s="159"/>
      <c r="S522" s="160">
        <f>SUM(S510:S521)</f>
        <v>25396</v>
      </c>
      <c r="T522" s="160"/>
      <c r="U522" s="157"/>
      <c r="V522" s="158">
        <f>SUM(V510:V521)</f>
        <v>308863.37999999995</v>
      </c>
      <c r="W522" s="161">
        <f>SUM(W510:W521)</f>
        <v>985025.46000000008</v>
      </c>
      <c r="X522" s="89" t="s">
        <v>113</v>
      </c>
      <c r="Y522" s="164" t="s">
        <v>41</v>
      </c>
      <c r="Z522" s="157"/>
      <c r="AA522" s="157"/>
      <c r="AB522" s="157"/>
      <c r="AC522" s="158">
        <f>SUM(AC510:AC521)</f>
        <v>676162.07999999973</v>
      </c>
      <c r="AD522" s="159"/>
      <c r="AE522" s="160">
        <f>SUM(AE510:AE521)</f>
        <v>25396</v>
      </c>
      <c r="AF522" s="160"/>
      <c r="AG522" s="157"/>
      <c r="AH522" s="158">
        <f>SUM(AH510:AH521)</f>
        <v>308863.37999999995</v>
      </c>
      <c r="AI522" s="161">
        <f>SUM(AI510:AI521)</f>
        <v>985025.46000000008</v>
      </c>
    </row>
    <row r="523" spans="1:35" ht="15" customHeight="1" x14ac:dyDescent="0.15">
      <c r="A523" s="214"/>
      <c r="B523" s="250"/>
      <c r="C523" s="250"/>
      <c r="D523" s="250"/>
      <c r="E523" s="250"/>
      <c r="F523" s="250"/>
      <c r="G523" s="250"/>
      <c r="H523" s="250"/>
      <c r="I523" s="250"/>
      <c r="J523" s="250"/>
      <c r="K523" s="250"/>
      <c r="L523" s="89"/>
      <c r="N523" s="162"/>
      <c r="O523" s="162"/>
      <c r="P523" s="162"/>
      <c r="Q523" s="162"/>
      <c r="R523" s="162"/>
      <c r="S523" s="162"/>
      <c r="T523" s="162"/>
      <c r="U523" s="162"/>
      <c r="V523" s="162"/>
      <c r="W523" s="162"/>
      <c r="X523" s="89"/>
      <c r="Z523" s="162"/>
      <c r="AA523" s="162"/>
      <c r="AB523" s="162"/>
      <c r="AC523" s="162"/>
      <c r="AD523" s="162"/>
      <c r="AE523" s="162"/>
      <c r="AF523" s="162"/>
      <c r="AG523" s="162"/>
      <c r="AH523" s="162"/>
      <c r="AI523" s="162"/>
    </row>
    <row r="524" spans="1:35" x14ac:dyDescent="0.15">
      <c r="A524" s="211" t="s">
        <v>153</v>
      </c>
      <c r="B524" s="212">
        <f>B499+1</f>
        <v>19</v>
      </c>
      <c r="C524" s="213"/>
      <c r="D524" s="213"/>
      <c r="E524" s="213"/>
      <c r="F524" s="213"/>
      <c r="G524" s="213"/>
      <c r="H524" s="213"/>
      <c r="I524" s="213"/>
      <c r="J524" s="213"/>
      <c r="K524" s="692" t="str">
        <f>IF(K547-W547&lt;=0,"現状のまま","メニュー変更")</f>
        <v>現状のまま</v>
      </c>
      <c r="L524" s="2"/>
      <c r="M524" s="47" t="s">
        <v>153</v>
      </c>
      <c r="N524" s="62">
        <f>N499+1</f>
        <v>19</v>
      </c>
      <c r="X524" s="2"/>
      <c r="Y524" s="47" t="s">
        <v>153</v>
      </c>
      <c r="Z524" s="62" t="e">
        <f>Z499+1</f>
        <v>#REF!</v>
      </c>
    </row>
    <row r="525" spans="1:35" x14ac:dyDescent="0.15">
      <c r="A525" s="214"/>
      <c r="B525" s="213"/>
      <c r="C525" s="213"/>
      <c r="D525" s="213"/>
      <c r="E525" s="213"/>
      <c r="F525" s="213"/>
      <c r="G525" s="213"/>
      <c r="H525" s="213"/>
      <c r="I525" s="213"/>
      <c r="J525" s="213"/>
      <c r="K525" s="692"/>
      <c r="L525" s="2"/>
      <c r="X525" s="2"/>
    </row>
    <row r="526" spans="1:35" x14ac:dyDescent="0.15">
      <c r="A526" s="214"/>
      <c r="B526" s="213"/>
      <c r="C526" s="213"/>
      <c r="D526" s="213"/>
      <c r="E526" s="213"/>
      <c r="F526" s="213"/>
      <c r="G526" s="213"/>
      <c r="H526" s="213"/>
      <c r="I526" s="213"/>
      <c r="J526" s="213"/>
      <c r="K526" s="692"/>
      <c r="L526" s="2"/>
      <c r="X526" s="2"/>
    </row>
    <row r="527" spans="1:35" ht="17.25" x14ac:dyDescent="0.15">
      <c r="A527" s="694" t="str">
        <f>$A$5</f>
        <v>平成29年度小郡市役所庁舎外25施設電力需給</v>
      </c>
      <c r="B527" s="694"/>
      <c r="C527" s="694"/>
      <c r="D527" s="694"/>
      <c r="E527" s="694"/>
      <c r="F527" s="694"/>
      <c r="G527" s="694"/>
      <c r="H527" s="694"/>
      <c r="I527" s="694"/>
      <c r="J527" s="694"/>
      <c r="K527" s="694"/>
      <c r="L527" s="2"/>
      <c r="M527" s="553" t="str">
        <f>$A$5</f>
        <v>平成29年度小郡市役所庁舎外25施設電力需給</v>
      </c>
      <c r="N527" s="553"/>
      <c r="O527" s="553"/>
      <c r="P527" s="553"/>
      <c r="Q527" s="553"/>
      <c r="R527" s="553"/>
      <c r="S527" s="553"/>
      <c r="T527" s="553"/>
      <c r="U527" s="553"/>
      <c r="V527" s="553"/>
      <c r="W527" s="553"/>
      <c r="X527" s="2"/>
      <c r="Y527" s="553" t="str">
        <f>$A$5</f>
        <v>平成29年度小郡市役所庁舎外25施設電力需給</v>
      </c>
      <c r="Z527" s="553"/>
      <c r="AA527" s="553"/>
      <c r="AB527" s="553"/>
      <c r="AC527" s="553"/>
      <c r="AD527" s="553"/>
      <c r="AE527" s="553"/>
      <c r="AF527" s="553"/>
      <c r="AG527" s="553"/>
      <c r="AH527" s="553"/>
      <c r="AI527" s="553"/>
    </row>
    <row r="528" spans="1:35" x14ac:dyDescent="0.15">
      <c r="A528" s="689" t="str">
        <f>$A$6</f>
        <v>（平成３０年１月～平成３０年１２月期間中の予定金額）</v>
      </c>
      <c r="B528" s="689"/>
      <c r="C528" s="689"/>
      <c r="D528" s="689"/>
      <c r="E528" s="689"/>
      <c r="F528" s="689"/>
      <c r="G528" s="689"/>
      <c r="H528" s="689"/>
      <c r="I528" s="689"/>
      <c r="J528" s="689"/>
      <c r="K528" s="689"/>
      <c r="L528" s="2"/>
      <c r="M528" s="555" t="str">
        <f>$A$6</f>
        <v>（平成３０年１月～平成３０年１２月期間中の予定金額）</v>
      </c>
      <c r="N528" s="555"/>
      <c r="O528" s="555"/>
      <c r="P528" s="555"/>
      <c r="Q528" s="555"/>
      <c r="R528" s="555"/>
      <c r="S528" s="555"/>
      <c r="T528" s="555"/>
      <c r="U528" s="555"/>
      <c r="V528" s="555"/>
      <c r="W528" s="555"/>
      <c r="X528" s="2"/>
      <c r="Y528" s="555" t="str">
        <f>$A$6</f>
        <v>（平成３０年１月～平成３０年１２月期間中の予定金額）</v>
      </c>
      <c r="Z528" s="555"/>
      <c r="AA528" s="555"/>
      <c r="AB528" s="555"/>
      <c r="AC528" s="555"/>
      <c r="AD528" s="555"/>
      <c r="AE528" s="555"/>
      <c r="AF528" s="555"/>
      <c r="AG528" s="555"/>
      <c r="AH528" s="555"/>
      <c r="AI528" s="555"/>
    </row>
    <row r="529" spans="1:35" ht="14.25" thickBot="1" x14ac:dyDescent="0.2">
      <c r="A529" s="252" t="s">
        <v>121</v>
      </c>
      <c r="B529" s="213"/>
      <c r="C529" s="213"/>
      <c r="D529" s="213"/>
      <c r="E529" s="213"/>
      <c r="F529" s="213"/>
      <c r="G529" s="213"/>
      <c r="H529" s="213"/>
      <c r="I529" s="213"/>
      <c r="J529" s="213"/>
      <c r="K529" s="211" t="s">
        <v>84</v>
      </c>
      <c r="L529" s="2"/>
      <c r="M529" s="209" t="s">
        <v>121</v>
      </c>
      <c r="W529" s="47" t="s">
        <v>70</v>
      </c>
      <c r="X529" s="2"/>
      <c r="Y529" s="209" t="s">
        <v>121</v>
      </c>
      <c r="AI529" s="47" t="s">
        <v>70</v>
      </c>
    </row>
    <row r="530" spans="1:35" ht="18" customHeight="1" thickBot="1" x14ac:dyDescent="0.2">
      <c r="A530" s="695" t="s">
        <v>33</v>
      </c>
      <c r="B530" s="683" t="s">
        <v>24</v>
      </c>
      <c r="C530" s="684"/>
      <c r="D530" s="684"/>
      <c r="E530" s="685"/>
      <c r="F530" s="686" t="s">
        <v>34</v>
      </c>
      <c r="G530" s="687"/>
      <c r="H530" s="687"/>
      <c r="I530" s="687"/>
      <c r="J530" s="688"/>
      <c r="K530" s="667" t="s">
        <v>35</v>
      </c>
      <c r="L530" s="2"/>
      <c r="M530" s="567" t="s">
        <v>33</v>
      </c>
      <c r="N530" s="570" t="s">
        <v>24</v>
      </c>
      <c r="O530" s="571"/>
      <c r="P530" s="571"/>
      <c r="Q530" s="572"/>
      <c r="R530" s="573" t="s">
        <v>34</v>
      </c>
      <c r="S530" s="574"/>
      <c r="T530" s="574"/>
      <c r="U530" s="574"/>
      <c r="V530" s="575"/>
      <c r="W530" s="544" t="s">
        <v>35</v>
      </c>
      <c r="X530" s="2"/>
      <c r="Y530" s="567" t="s">
        <v>33</v>
      </c>
      <c r="Z530" s="570" t="s">
        <v>24</v>
      </c>
      <c r="AA530" s="571"/>
      <c r="AB530" s="571"/>
      <c r="AC530" s="572"/>
      <c r="AD530" s="573" t="s">
        <v>34</v>
      </c>
      <c r="AE530" s="574"/>
      <c r="AF530" s="574"/>
      <c r="AG530" s="574"/>
      <c r="AH530" s="575"/>
      <c r="AI530" s="544" t="s">
        <v>35</v>
      </c>
    </row>
    <row r="531" spans="1:35" ht="13.5" customHeight="1" x14ac:dyDescent="0.15">
      <c r="A531" s="696"/>
      <c r="B531" s="669" t="s">
        <v>28</v>
      </c>
      <c r="C531" s="667" t="s">
        <v>29</v>
      </c>
      <c r="D531" s="669" t="s">
        <v>25</v>
      </c>
      <c r="E531" s="678" t="s">
        <v>31</v>
      </c>
      <c r="F531" s="679" t="s">
        <v>36</v>
      </c>
      <c r="G531" s="680"/>
      <c r="H531" s="216"/>
      <c r="I531" s="667" t="s">
        <v>37</v>
      </c>
      <c r="J531" s="669" t="s">
        <v>38</v>
      </c>
      <c r="K531" s="668"/>
      <c r="L531" s="2"/>
      <c r="M531" s="568"/>
      <c r="N531" s="546" t="s">
        <v>28</v>
      </c>
      <c r="O531" s="544" t="s">
        <v>29</v>
      </c>
      <c r="P531" s="546" t="s">
        <v>25</v>
      </c>
      <c r="Q531" s="582" t="s">
        <v>31</v>
      </c>
      <c r="R531" s="540" t="s">
        <v>36</v>
      </c>
      <c r="S531" s="541"/>
      <c r="T531" s="135"/>
      <c r="U531" s="544" t="s">
        <v>37</v>
      </c>
      <c r="V531" s="546" t="s">
        <v>38</v>
      </c>
      <c r="W531" s="545"/>
      <c r="X531" s="2"/>
      <c r="Y531" s="568"/>
      <c r="Z531" s="546" t="s">
        <v>28</v>
      </c>
      <c r="AA531" s="544" t="s">
        <v>29</v>
      </c>
      <c r="AB531" s="546" t="s">
        <v>25</v>
      </c>
      <c r="AC531" s="582" t="s">
        <v>31</v>
      </c>
      <c r="AD531" s="540" t="s">
        <v>36</v>
      </c>
      <c r="AE531" s="541"/>
      <c r="AF531" s="135"/>
      <c r="AG531" s="544" t="s">
        <v>37</v>
      </c>
      <c r="AH531" s="546" t="s">
        <v>38</v>
      </c>
      <c r="AI531" s="545"/>
    </row>
    <row r="532" spans="1:35" x14ac:dyDescent="0.15">
      <c r="A532" s="696"/>
      <c r="B532" s="669"/>
      <c r="C532" s="668"/>
      <c r="D532" s="669"/>
      <c r="E532" s="669"/>
      <c r="F532" s="681"/>
      <c r="G532" s="682"/>
      <c r="H532" s="217"/>
      <c r="I532" s="668"/>
      <c r="J532" s="669"/>
      <c r="K532" s="668"/>
      <c r="L532" s="2"/>
      <c r="M532" s="568"/>
      <c r="N532" s="546"/>
      <c r="O532" s="545"/>
      <c r="P532" s="546"/>
      <c r="Q532" s="546"/>
      <c r="R532" s="542"/>
      <c r="S532" s="543"/>
      <c r="T532" s="136"/>
      <c r="U532" s="545"/>
      <c r="V532" s="546"/>
      <c r="W532" s="545"/>
      <c r="X532" s="2"/>
      <c r="Y532" s="568"/>
      <c r="Z532" s="546"/>
      <c r="AA532" s="545"/>
      <c r="AB532" s="546"/>
      <c r="AC532" s="546"/>
      <c r="AD532" s="542"/>
      <c r="AE532" s="543"/>
      <c r="AF532" s="136"/>
      <c r="AG532" s="545"/>
      <c r="AH532" s="546"/>
      <c r="AI532" s="545"/>
    </row>
    <row r="533" spans="1:35" ht="23.25" customHeight="1" x14ac:dyDescent="0.15">
      <c r="A533" s="696"/>
      <c r="B533" s="218" t="s">
        <v>13</v>
      </c>
      <c r="C533" s="219" t="s">
        <v>30</v>
      </c>
      <c r="D533" s="218" t="s">
        <v>14</v>
      </c>
      <c r="E533" s="218" t="s">
        <v>40</v>
      </c>
      <c r="F533" s="665" t="s">
        <v>15</v>
      </c>
      <c r="G533" s="666"/>
      <c r="H533" s="220"/>
      <c r="I533" s="219" t="s">
        <v>30</v>
      </c>
      <c r="J533" s="218" t="s">
        <v>40</v>
      </c>
      <c r="K533" s="218" t="s">
        <v>40</v>
      </c>
      <c r="L533" s="2"/>
      <c r="M533" s="568"/>
      <c r="N533" s="137" t="s">
        <v>152</v>
      </c>
      <c r="O533" s="138" t="s">
        <v>30</v>
      </c>
      <c r="P533" s="137" t="s">
        <v>14</v>
      </c>
      <c r="Q533" s="137" t="s">
        <v>40</v>
      </c>
      <c r="R533" s="549" t="s">
        <v>15</v>
      </c>
      <c r="S533" s="550"/>
      <c r="T533" s="139"/>
      <c r="U533" s="138" t="s">
        <v>30</v>
      </c>
      <c r="V533" s="137" t="s">
        <v>40</v>
      </c>
      <c r="W533" s="137" t="s">
        <v>40</v>
      </c>
      <c r="X533" s="2"/>
      <c r="Y533" s="568"/>
      <c r="Z533" s="137" t="s">
        <v>152</v>
      </c>
      <c r="AA533" s="138" t="s">
        <v>30</v>
      </c>
      <c r="AB533" s="137" t="s">
        <v>14</v>
      </c>
      <c r="AC533" s="137" t="s">
        <v>40</v>
      </c>
      <c r="AD533" s="549" t="s">
        <v>15</v>
      </c>
      <c r="AE533" s="550"/>
      <c r="AF533" s="139"/>
      <c r="AG533" s="138" t="s">
        <v>30</v>
      </c>
      <c r="AH533" s="137" t="s">
        <v>40</v>
      </c>
      <c r="AI533" s="137" t="s">
        <v>40</v>
      </c>
    </row>
    <row r="534" spans="1:35" ht="15.75" customHeight="1" thickBot="1" x14ac:dyDescent="0.2">
      <c r="A534" s="697"/>
      <c r="B534" s="221" t="s">
        <v>16</v>
      </c>
      <c r="C534" s="221" t="s">
        <v>17</v>
      </c>
      <c r="D534" s="221" t="s">
        <v>18</v>
      </c>
      <c r="E534" s="221" t="s">
        <v>19</v>
      </c>
      <c r="F534" s="222"/>
      <c r="G534" s="223" t="s">
        <v>20</v>
      </c>
      <c r="H534" s="223"/>
      <c r="I534" s="221" t="s">
        <v>21</v>
      </c>
      <c r="J534" s="221" t="s">
        <v>22</v>
      </c>
      <c r="K534" s="223" t="s">
        <v>23</v>
      </c>
      <c r="L534" s="2"/>
      <c r="M534" s="569"/>
      <c r="N534" s="122" t="s">
        <v>16</v>
      </c>
      <c r="O534" s="122" t="s">
        <v>17</v>
      </c>
      <c r="P534" s="122" t="s">
        <v>18</v>
      </c>
      <c r="Q534" s="122" t="s">
        <v>19</v>
      </c>
      <c r="R534" s="140"/>
      <c r="S534" s="141" t="s">
        <v>20</v>
      </c>
      <c r="T534" s="141"/>
      <c r="U534" s="122" t="s">
        <v>21</v>
      </c>
      <c r="V534" s="122" t="s">
        <v>22</v>
      </c>
      <c r="W534" s="141" t="s">
        <v>23</v>
      </c>
      <c r="X534" s="2"/>
      <c r="Y534" s="569"/>
      <c r="Z534" s="122" t="s">
        <v>16</v>
      </c>
      <c r="AA534" s="122" t="s">
        <v>17</v>
      </c>
      <c r="AB534" s="122" t="s">
        <v>18</v>
      </c>
      <c r="AC534" s="122" t="s">
        <v>19</v>
      </c>
      <c r="AD534" s="140"/>
      <c r="AE534" s="141" t="s">
        <v>20</v>
      </c>
      <c r="AF534" s="141"/>
      <c r="AG534" s="122" t="s">
        <v>21</v>
      </c>
      <c r="AH534" s="122" t="s">
        <v>22</v>
      </c>
      <c r="AI534" s="141" t="s">
        <v>23</v>
      </c>
    </row>
    <row r="535" spans="1:35" ht="30" customHeight="1" x14ac:dyDescent="0.15">
      <c r="A535" s="224" t="s">
        <v>83</v>
      </c>
      <c r="B535" s="225">
        <v>44</v>
      </c>
      <c r="C535" s="226">
        <v>1296</v>
      </c>
      <c r="D535" s="225">
        <v>100</v>
      </c>
      <c r="E535" s="228">
        <f t="shared" ref="E535:E546" si="297">ROUNDDOWN(B535*C535*((185-D535)/100),2)</f>
        <v>48470.400000000001</v>
      </c>
      <c r="F535" s="229" t="s">
        <v>85</v>
      </c>
      <c r="G535" s="230">
        <v>3100</v>
      </c>
      <c r="H535" s="230"/>
      <c r="I535" s="226">
        <v>16.87</v>
      </c>
      <c r="J535" s="228">
        <f t="shared" ref="J535:J546" si="298">ROUNDDOWN(G535*I535,2)</f>
        <v>52297</v>
      </c>
      <c r="K535" s="231">
        <f t="shared" ref="K535:K546" si="299">ROUNDDOWN(J535+E535,2)</f>
        <v>100767.4</v>
      </c>
      <c r="L535" s="2"/>
      <c r="M535" s="142" t="s">
        <v>83</v>
      </c>
      <c r="N535" s="143">
        <v>44</v>
      </c>
      <c r="O535" s="123">
        <v>2008.8</v>
      </c>
      <c r="P535" s="163">
        <v>100</v>
      </c>
      <c r="Q535" s="98">
        <f t="shared" ref="Q535:Q546" si="300">ROUNDDOWN(N535*O535*((185-P535)/100),2)</f>
        <v>75129.119999999995</v>
      </c>
      <c r="R535" s="145" t="s">
        <v>85</v>
      </c>
      <c r="S535" s="146">
        <v>3100</v>
      </c>
      <c r="T535" s="146"/>
      <c r="U535" s="124">
        <v>11.87</v>
      </c>
      <c r="V535" s="98">
        <f t="shared" ref="V535:V546" si="301">ROUNDDOWN(S535*U535,2)</f>
        <v>36797</v>
      </c>
      <c r="W535" s="147">
        <f t="shared" ref="W535:W546" si="302">ROUNDDOWN(V535+Q535,2)</f>
        <v>111926.12</v>
      </c>
      <c r="X535" s="2"/>
      <c r="Y535" s="142" t="s">
        <v>83</v>
      </c>
      <c r="Z535" s="143">
        <v>44</v>
      </c>
      <c r="AA535" s="123">
        <v>2008.8</v>
      </c>
      <c r="AB535" s="163">
        <v>100</v>
      </c>
      <c r="AC535" s="98">
        <f t="shared" ref="AC535:AC546" si="303">ROUNDDOWN(Z535*AA535*((185-AB535)/100),2)</f>
        <v>75129.119999999995</v>
      </c>
      <c r="AD535" s="145" t="s">
        <v>85</v>
      </c>
      <c r="AE535" s="146">
        <v>3100</v>
      </c>
      <c r="AF535" s="146"/>
      <c r="AG535" s="124">
        <v>11.87</v>
      </c>
      <c r="AH535" s="98">
        <f t="shared" ref="AH535:AH546" si="304">ROUNDDOWN(AE535*AG535,2)</f>
        <v>36797</v>
      </c>
      <c r="AI535" s="147">
        <f t="shared" ref="AI535:AI546" si="305">ROUNDDOWN(AH535+AC535,2)</f>
        <v>111926.12</v>
      </c>
    </row>
    <row r="536" spans="1:35" ht="30" customHeight="1" x14ac:dyDescent="0.15">
      <c r="A536" s="232" t="s">
        <v>72</v>
      </c>
      <c r="B536" s="233">
        <f t="shared" ref="B536:B546" si="306">B535</f>
        <v>44</v>
      </c>
      <c r="C536" s="234">
        <f t="shared" ref="C536:C546" si="307">C535</f>
        <v>1296</v>
      </c>
      <c r="D536" s="235">
        <f t="shared" ref="D536:D546" si="308">D535</f>
        <v>100</v>
      </c>
      <c r="E536" s="228">
        <f t="shared" si="297"/>
        <v>48470.400000000001</v>
      </c>
      <c r="F536" s="229" t="s">
        <v>112</v>
      </c>
      <c r="G536" s="230">
        <v>3534</v>
      </c>
      <c r="H536" s="230"/>
      <c r="I536" s="234">
        <f>I535</f>
        <v>16.87</v>
      </c>
      <c r="J536" s="228">
        <f t="shared" si="298"/>
        <v>59618.58</v>
      </c>
      <c r="K536" s="231">
        <f t="shared" si="299"/>
        <v>108088.98</v>
      </c>
      <c r="L536" s="2"/>
      <c r="M536" s="148" t="s">
        <v>72</v>
      </c>
      <c r="N536" s="149">
        <f t="shared" ref="N536:N546" si="309">N535</f>
        <v>44</v>
      </c>
      <c r="O536" s="125">
        <f t="shared" ref="O536:O546" si="310">O535</f>
        <v>2008.8</v>
      </c>
      <c r="P536" s="106">
        <f t="shared" ref="P536:P546" si="311">P535</f>
        <v>100</v>
      </c>
      <c r="Q536" s="98">
        <f t="shared" si="300"/>
        <v>75129.119999999995</v>
      </c>
      <c r="R536" s="145" t="s">
        <v>112</v>
      </c>
      <c r="S536" s="146">
        <v>3534</v>
      </c>
      <c r="T536" s="146"/>
      <c r="U536" s="125">
        <f>U535</f>
        <v>11.87</v>
      </c>
      <c r="V536" s="98">
        <f t="shared" si="301"/>
        <v>41948.58</v>
      </c>
      <c r="W536" s="147">
        <f t="shared" si="302"/>
        <v>117077.7</v>
      </c>
      <c r="X536" s="2"/>
      <c r="Y536" s="148" t="s">
        <v>72</v>
      </c>
      <c r="Z536" s="149">
        <f t="shared" ref="Z536:Z546" si="312">Z535</f>
        <v>44</v>
      </c>
      <c r="AA536" s="125">
        <f t="shared" ref="AA536:AA546" si="313">AA535</f>
        <v>2008.8</v>
      </c>
      <c r="AB536" s="106">
        <f t="shared" ref="AB536:AB546" si="314">AB535</f>
        <v>100</v>
      </c>
      <c r="AC536" s="98">
        <f t="shared" si="303"/>
        <v>75129.119999999995</v>
      </c>
      <c r="AD536" s="145" t="s">
        <v>112</v>
      </c>
      <c r="AE536" s="146">
        <v>3534</v>
      </c>
      <c r="AF536" s="146"/>
      <c r="AG536" s="125">
        <f>AG535</f>
        <v>11.87</v>
      </c>
      <c r="AH536" s="98">
        <f t="shared" si="304"/>
        <v>41948.58</v>
      </c>
      <c r="AI536" s="147">
        <f t="shared" si="305"/>
        <v>117077.7</v>
      </c>
    </row>
    <row r="537" spans="1:35" ht="30" customHeight="1" x14ac:dyDescent="0.15">
      <c r="A537" s="232" t="s">
        <v>73</v>
      </c>
      <c r="B537" s="233">
        <f t="shared" si="306"/>
        <v>44</v>
      </c>
      <c r="C537" s="234">
        <f t="shared" si="307"/>
        <v>1296</v>
      </c>
      <c r="D537" s="235">
        <f t="shared" si="308"/>
        <v>100</v>
      </c>
      <c r="E537" s="228">
        <f t="shared" si="297"/>
        <v>48470.400000000001</v>
      </c>
      <c r="F537" s="229" t="s">
        <v>9</v>
      </c>
      <c r="G537" s="230">
        <v>2601</v>
      </c>
      <c r="H537" s="230"/>
      <c r="I537" s="234">
        <f>I536</f>
        <v>16.87</v>
      </c>
      <c r="J537" s="228">
        <f t="shared" si="298"/>
        <v>43878.87</v>
      </c>
      <c r="K537" s="231">
        <f t="shared" si="299"/>
        <v>92349.27</v>
      </c>
      <c r="L537" s="2"/>
      <c r="M537" s="148" t="s">
        <v>73</v>
      </c>
      <c r="N537" s="149">
        <f t="shared" si="309"/>
        <v>44</v>
      </c>
      <c r="O537" s="125">
        <f t="shared" si="310"/>
        <v>2008.8</v>
      </c>
      <c r="P537" s="106">
        <f t="shared" si="311"/>
        <v>100</v>
      </c>
      <c r="Q537" s="98">
        <f t="shared" si="300"/>
        <v>75129.119999999995</v>
      </c>
      <c r="R537" s="145" t="s">
        <v>9</v>
      </c>
      <c r="S537" s="146">
        <v>2601</v>
      </c>
      <c r="T537" s="146"/>
      <c r="U537" s="125">
        <f>U536</f>
        <v>11.87</v>
      </c>
      <c r="V537" s="98">
        <f t="shared" si="301"/>
        <v>30873.87</v>
      </c>
      <c r="W537" s="147">
        <f t="shared" si="302"/>
        <v>106002.99</v>
      </c>
      <c r="X537" s="2"/>
      <c r="Y537" s="148" t="s">
        <v>73</v>
      </c>
      <c r="Z537" s="149">
        <f t="shared" si="312"/>
        <v>44</v>
      </c>
      <c r="AA537" s="125">
        <f t="shared" si="313"/>
        <v>2008.8</v>
      </c>
      <c r="AB537" s="106">
        <f t="shared" si="314"/>
        <v>100</v>
      </c>
      <c r="AC537" s="98">
        <f t="shared" si="303"/>
        <v>75129.119999999995</v>
      </c>
      <c r="AD537" s="145" t="s">
        <v>9</v>
      </c>
      <c r="AE537" s="146">
        <v>2601</v>
      </c>
      <c r="AF537" s="146"/>
      <c r="AG537" s="125">
        <f>AG536</f>
        <v>11.87</v>
      </c>
      <c r="AH537" s="98">
        <f t="shared" si="304"/>
        <v>30873.87</v>
      </c>
      <c r="AI537" s="147">
        <f t="shared" si="305"/>
        <v>106002.99</v>
      </c>
    </row>
    <row r="538" spans="1:35" ht="30" customHeight="1" x14ac:dyDescent="0.15">
      <c r="A538" s="232" t="s">
        <v>74</v>
      </c>
      <c r="B538" s="233">
        <f t="shared" si="306"/>
        <v>44</v>
      </c>
      <c r="C538" s="234">
        <f t="shared" si="307"/>
        <v>1296</v>
      </c>
      <c r="D538" s="235">
        <f t="shared" si="308"/>
        <v>100</v>
      </c>
      <c r="E538" s="228">
        <f t="shared" si="297"/>
        <v>48470.400000000001</v>
      </c>
      <c r="F538" s="229" t="s">
        <v>9</v>
      </c>
      <c r="G538" s="230">
        <v>1428</v>
      </c>
      <c r="H538" s="230"/>
      <c r="I538" s="234">
        <f>I537</f>
        <v>16.87</v>
      </c>
      <c r="J538" s="228">
        <f t="shared" si="298"/>
        <v>24090.36</v>
      </c>
      <c r="K538" s="231">
        <f t="shared" si="299"/>
        <v>72560.759999999995</v>
      </c>
      <c r="L538" s="2"/>
      <c r="M538" s="148" t="s">
        <v>74</v>
      </c>
      <c r="N538" s="149">
        <f t="shared" si="309"/>
        <v>44</v>
      </c>
      <c r="O538" s="125">
        <f t="shared" si="310"/>
        <v>2008.8</v>
      </c>
      <c r="P538" s="106">
        <f t="shared" si="311"/>
        <v>100</v>
      </c>
      <c r="Q538" s="98">
        <f t="shared" si="300"/>
        <v>75129.119999999995</v>
      </c>
      <c r="R538" s="145" t="s">
        <v>9</v>
      </c>
      <c r="S538" s="146">
        <v>1428</v>
      </c>
      <c r="T538" s="146"/>
      <c r="U538" s="125">
        <f>U537</f>
        <v>11.87</v>
      </c>
      <c r="V538" s="98">
        <f t="shared" si="301"/>
        <v>16950.36</v>
      </c>
      <c r="W538" s="147">
        <f t="shared" si="302"/>
        <v>92079.48</v>
      </c>
      <c r="X538" s="2"/>
      <c r="Y538" s="148" t="s">
        <v>74</v>
      </c>
      <c r="Z538" s="149">
        <f t="shared" si="312"/>
        <v>44</v>
      </c>
      <c r="AA538" s="125">
        <f t="shared" si="313"/>
        <v>2008.8</v>
      </c>
      <c r="AB538" s="106">
        <f t="shared" si="314"/>
        <v>100</v>
      </c>
      <c r="AC538" s="98">
        <f t="shared" si="303"/>
        <v>75129.119999999995</v>
      </c>
      <c r="AD538" s="145" t="s">
        <v>9</v>
      </c>
      <c r="AE538" s="146">
        <v>1428</v>
      </c>
      <c r="AF538" s="146"/>
      <c r="AG538" s="125">
        <f>AG537</f>
        <v>11.87</v>
      </c>
      <c r="AH538" s="98">
        <f t="shared" si="304"/>
        <v>16950.36</v>
      </c>
      <c r="AI538" s="147">
        <f t="shared" si="305"/>
        <v>92079.48</v>
      </c>
    </row>
    <row r="539" spans="1:35" ht="30" customHeight="1" x14ac:dyDescent="0.15">
      <c r="A539" s="232" t="s">
        <v>75</v>
      </c>
      <c r="B539" s="233">
        <f t="shared" si="306"/>
        <v>44</v>
      </c>
      <c r="C539" s="234">
        <f t="shared" si="307"/>
        <v>1296</v>
      </c>
      <c r="D539" s="235">
        <f t="shared" si="308"/>
        <v>100</v>
      </c>
      <c r="E539" s="228">
        <f t="shared" si="297"/>
        <v>48470.400000000001</v>
      </c>
      <c r="F539" s="229" t="s">
        <v>9</v>
      </c>
      <c r="G539" s="230">
        <v>1668</v>
      </c>
      <c r="H539" s="230"/>
      <c r="I539" s="234">
        <f>I538</f>
        <v>16.87</v>
      </c>
      <c r="J539" s="228">
        <f t="shared" si="298"/>
        <v>28139.16</v>
      </c>
      <c r="K539" s="231">
        <f t="shared" si="299"/>
        <v>76609.56</v>
      </c>
      <c r="L539" s="2"/>
      <c r="M539" s="148" t="s">
        <v>75</v>
      </c>
      <c r="N539" s="149">
        <f t="shared" si="309"/>
        <v>44</v>
      </c>
      <c r="O539" s="125">
        <f t="shared" si="310"/>
        <v>2008.8</v>
      </c>
      <c r="P539" s="106">
        <f t="shared" si="311"/>
        <v>100</v>
      </c>
      <c r="Q539" s="98">
        <f t="shared" si="300"/>
        <v>75129.119999999995</v>
      </c>
      <c r="R539" s="145" t="s">
        <v>9</v>
      </c>
      <c r="S539" s="146">
        <v>1668</v>
      </c>
      <c r="T539" s="146"/>
      <c r="U539" s="125">
        <f>U538</f>
        <v>11.87</v>
      </c>
      <c r="V539" s="98">
        <f t="shared" si="301"/>
        <v>19799.16</v>
      </c>
      <c r="W539" s="147">
        <f t="shared" si="302"/>
        <v>94928.28</v>
      </c>
      <c r="X539" s="2"/>
      <c r="Y539" s="148" t="s">
        <v>75</v>
      </c>
      <c r="Z539" s="149">
        <f t="shared" si="312"/>
        <v>44</v>
      </c>
      <c r="AA539" s="125">
        <f t="shared" si="313"/>
        <v>2008.8</v>
      </c>
      <c r="AB539" s="106">
        <f t="shared" si="314"/>
        <v>100</v>
      </c>
      <c r="AC539" s="98">
        <f t="shared" si="303"/>
        <v>75129.119999999995</v>
      </c>
      <c r="AD539" s="145" t="s">
        <v>9</v>
      </c>
      <c r="AE539" s="146">
        <v>1668</v>
      </c>
      <c r="AF539" s="146"/>
      <c r="AG539" s="125">
        <f>AG538</f>
        <v>11.87</v>
      </c>
      <c r="AH539" s="98">
        <f t="shared" si="304"/>
        <v>19799.16</v>
      </c>
      <c r="AI539" s="147">
        <f t="shared" si="305"/>
        <v>94928.28</v>
      </c>
    </row>
    <row r="540" spans="1:35" ht="30" customHeight="1" x14ac:dyDescent="0.15">
      <c r="A540" s="232" t="s">
        <v>76</v>
      </c>
      <c r="B540" s="233">
        <f t="shared" si="306"/>
        <v>44</v>
      </c>
      <c r="C540" s="234">
        <f t="shared" si="307"/>
        <v>1296</v>
      </c>
      <c r="D540" s="235">
        <f t="shared" si="308"/>
        <v>100</v>
      </c>
      <c r="E540" s="228">
        <f t="shared" si="297"/>
        <v>48470.400000000001</v>
      </c>
      <c r="F540" s="229" t="s">
        <v>9</v>
      </c>
      <c r="G540" s="230">
        <v>2028</v>
      </c>
      <c r="H540" s="230"/>
      <c r="I540" s="234">
        <f>I539</f>
        <v>16.87</v>
      </c>
      <c r="J540" s="228">
        <f t="shared" si="298"/>
        <v>34212.36</v>
      </c>
      <c r="K540" s="231">
        <f t="shared" si="299"/>
        <v>82682.759999999995</v>
      </c>
      <c r="L540" s="2"/>
      <c r="M540" s="148" t="s">
        <v>76</v>
      </c>
      <c r="N540" s="149">
        <f t="shared" si="309"/>
        <v>44</v>
      </c>
      <c r="O540" s="125">
        <f t="shared" si="310"/>
        <v>2008.8</v>
      </c>
      <c r="P540" s="106">
        <f t="shared" si="311"/>
        <v>100</v>
      </c>
      <c r="Q540" s="98">
        <f t="shared" si="300"/>
        <v>75129.119999999995</v>
      </c>
      <c r="R540" s="145" t="s">
        <v>9</v>
      </c>
      <c r="S540" s="146">
        <v>2028</v>
      </c>
      <c r="T540" s="146"/>
      <c r="U540" s="125">
        <f>U539</f>
        <v>11.87</v>
      </c>
      <c r="V540" s="98">
        <f t="shared" si="301"/>
        <v>24072.36</v>
      </c>
      <c r="W540" s="147">
        <f t="shared" si="302"/>
        <v>99201.48</v>
      </c>
      <c r="X540" s="2"/>
      <c r="Y540" s="148" t="s">
        <v>76</v>
      </c>
      <c r="Z540" s="149">
        <f t="shared" si="312"/>
        <v>44</v>
      </c>
      <c r="AA540" s="125">
        <f t="shared" si="313"/>
        <v>2008.8</v>
      </c>
      <c r="AB540" s="106">
        <f t="shared" si="314"/>
        <v>100</v>
      </c>
      <c r="AC540" s="98">
        <f t="shared" si="303"/>
        <v>75129.119999999995</v>
      </c>
      <c r="AD540" s="145" t="s">
        <v>9</v>
      </c>
      <c r="AE540" s="146">
        <v>2028</v>
      </c>
      <c r="AF540" s="146"/>
      <c r="AG540" s="125">
        <f>AG539</f>
        <v>11.87</v>
      </c>
      <c r="AH540" s="98">
        <f t="shared" si="304"/>
        <v>24072.36</v>
      </c>
      <c r="AI540" s="147">
        <f t="shared" si="305"/>
        <v>99201.48</v>
      </c>
    </row>
    <row r="541" spans="1:35" ht="30" customHeight="1" x14ac:dyDescent="0.15">
      <c r="A541" s="232" t="s">
        <v>77</v>
      </c>
      <c r="B541" s="233">
        <f t="shared" si="306"/>
        <v>44</v>
      </c>
      <c r="C541" s="234">
        <f t="shared" si="307"/>
        <v>1296</v>
      </c>
      <c r="D541" s="235">
        <f t="shared" si="308"/>
        <v>100</v>
      </c>
      <c r="E541" s="228">
        <f t="shared" si="297"/>
        <v>48470.400000000001</v>
      </c>
      <c r="F541" s="229" t="s">
        <v>71</v>
      </c>
      <c r="G541" s="230">
        <v>3564</v>
      </c>
      <c r="H541" s="230"/>
      <c r="I541" s="226">
        <v>18.29</v>
      </c>
      <c r="J541" s="228">
        <f t="shared" si="298"/>
        <v>65185.56</v>
      </c>
      <c r="K541" s="231">
        <f t="shared" si="299"/>
        <v>113655.96</v>
      </c>
      <c r="L541" s="2"/>
      <c r="M541" s="148" t="s">
        <v>77</v>
      </c>
      <c r="N541" s="149">
        <f t="shared" si="309"/>
        <v>44</v>
      </c>
      <c r="O541" s="125">
        <f t="shared" si="310"/>
        <v>2008.8</v>
      </c>
      <c r="P541" s="106">
        <f t="shared" si="311"/>
        <v>100</v>
      </c>
      <c r="Q541" s="98">
        <f t="shared" si="300"/>
        <v>75129.119999999995</v>
      </c>
      <c r="R541" s="145" t="s">
        <v>71</v>
      </c>
      <c r="S541" s="146">
        <v>3564</v>
      </c>
      <c r="T541" s="146"/>
      <c r="U541" s="124">
        <v>12.78</v>
      </c>
      <c r="V541" s="98">
        <f t="shared" si="301"/>
        <v>45547.92</v>
      </c>
      <c r="W541" s="147">
        <f t="shared" si="302"/>
        <v>120677.04</v>
      </c>
      <c r="X541" s="2"/>
      <c r="Y541" s="148" t="s">
        <v>77</v>
      </c>
      <c r="Z541" s="149">
        <f t="shared" si="312"/>
        <v>44</v>
      </c>
      <c r="AA541" s="125">
        <f t="shared" si="313"/>
        <v>2008.8</v>
      </c>
      <c r="AB541" s="106">
        <f t="shared" si="314"/>
        <v>100</v>
      </c>
      <c r="AC541" s="98">
        <f t="shared" si="303"/>
        <v>75129.119999999995</v>
      </c>
      <c r="AD541" s="145" t="s">
        <v>71</v>
      </c>
      <c r="AE541" s="146">
        <v>3564</v>
      </c>
      <c r="AF541" s="146"/>
      <c r="AG541" s="124">
        <v>12.78</v>
      </c>
      <c r="AH541" s="98">
        <f t="shared" si="304"/>
        <v>45547.92</v>
      </c>
      <c r="AI541" s="147">
        <f t="shared" si="305"/>
        <v>120677.04</v>
      </c>
    </row>
    <row r="542" spans="1:35" ht="30" customHeight="1" x14ac:dyDescent="0.15">
      <c r="A542" s="232" t="s">
        <v>78</v>
      </c>
      <c r="B542" s="233">
        <f t="shared" si="306"/>
        <v>44</v>
      </c>
      <c r="C542" s="234">
        <f t="shared" si="307"/>
        <v>1296</v>
      </c>
      <c r="D542" s="235">
        <f t="shared" si="308"/>
        <v>100</v>
      </c>
      <c r="E542" s="228">
        <f t="shared" si="297"/>
        <v>48470.400000000001</v>
      </c>
      <c r="F542" s="229" t="s">
        <v>71</v>
      </c>
      <c r="G542" s="230">
        <v>2940</v>
      </c>
      <c r="H542" s="230"/>
      <c r="I542" s="234">
        <f>I541</f>
        <v>18.29</v>
      </c>
      <c r="J542" s="228">
        <f t="shared" si="298"/>
        <v>53772.6</v>
      </c>
      <c r="K542" s="231">
        <f t="shared" si="299"/>
        <v>102243</v>
      </c>
      <c r="L542" s="2"/>
      <c r="M542" s="148" t="s">
        <v>78</v>
      </c>
      <c r="N542" s="149">
        <f t="shared" si="309"/>
        <v>44</v>
      </c>
      <c r="O542" s="125">
        <f t="shared" si="310"/>
        <v>2008.8</v>
      </c>
      <c r="P542" s="106">
        <f t="shared" si="311"/>
        <v>100</v>
      </c>
      <c r="Q542" s="98">
        <f t="shared" si="300"/>
        <v>75129.119999999995</v>
      </c>
      <c r="R542" s="145" t="s">
        <v>71</v>
      </c>
      <c r="S542" s="146">
        <v>2940</v>
      </c>
      <c r="T542" s="146"/>
      <c r="U542" s="125">
        <f>U541</f>
        <v>12.78</v>
      </c>
      <c r="V542" s="98">
        <f t="shared" si="301"/>
        <v>37573.199999999997</v>
      </c>
      <c r="W542" s="147">
        <f t="shared" si="302"/>
        <v>112702.32</v>
      </c>
      <c r="X542" s="2"/>
      <c r="Y542" s="148" t="s">
        <v>78</v>
      </c>
      <c r="Z542" s="149">
        <f t="shared" si="312"/>
        <v>44</v>
      </c>
      <c r="AA542" s="125">
        <f t="shared" si="313"/>
        <v>2008.8</v>
      </c>
      <c r="AB542" s="106">
        <f t="shared" si="314"/>
        <v>100</v>
      </c>
      <c r="AC542" s="98">
        <f t="shared" si="303"/>
        <v>75129.119999999995</v>
      </c>
      <c r="AD542" s="145" t="s">
        <v>71</v>
      </c>
      <c r="AE542" s="146">
        <v>2940</v>
      </c>
      <c r="AF542" s="146"/>
      <c r="AG542" s="125">
        <f>AG541</f>
        <v>12.78</v>
      </c>
      <c r="AH542" s="98">
        <f t="shared" si="304"/>
        <v>37573.199999999997</v>
      </c>
      <c r="AI542" s="147">
        <f t="shared" si="305"/>
        <v>112702.32</v>
      </c>
    </row>
    <row r="543" spans="1:35" ht="30" customHeight="1" x14ac:dyDescent="0.15">
      <c r="A543" s="232" t="s">
        <v>79</v>
      </c>
      <c r="B543" s="233">
        <f t="shared" si="306"/>
        <v>44</v>
      </c>
      <c r="C543" s="234">
        <f t="shared" si="307"/>
        <v>1296</v>
      </c>
      <c r="D543" s="235">
        <f t="shared" si="308"/>
        <v>100</v>
      </c>
      <c r="E543" s="228">
        <f t="shared" si="297"/>
        <v>48470.400000000001</v>
      </c>
      <c r="F543" s="229" t="s">
        <v>71</v>
      </c>
      <c r="G543" s="230">
        <f>2054+514</f>
        <v>2568</v>
      </c>
      <c r="H543" s="230"/>
      <c r="I543" s="234">
        <f>I542</f>
        <v>18.29</v>
      </c>
      <c r="J543" s="228">
        <f t="shared" si="298"/>
        <v>46968.72</v>
      </c>
      <c r="K543" s="231">
        <f t="shared" si="299"/>
        <v>95439.12</v>
      </c>
      <c r="L543" s="2"/>
      <c r="M543" s="148" t="s">
        <v>79</v>
      </c>
      <c r="N543" s="149">
        <f t="shared" si="309"/>
        <v>44</v>
      </c>
      <c r="O543" s="125">
        <f t="shared" si="310"/>
        <v>2008.8</v>
      </c>
      <c r="P543" s="106">
        <f t="shared" si="311"/>
        <v>100</v>
      </c>
      <c r="Q543" s="98">
        <f t="shared" si="300"/>
        <v>75129.119999999995</v>
      </c>
      <c r="R543" s="145" t="s">
        <v>71</v>
      </c>
      <c r="S543" s="146">
        <f>2054+514</f>
        <v>2568</v>
      </c>
      <c r="T543" s="146"/>
      <c r="U543" s="125">
        <f>U542</f>
        <v>12.78</v>
      </c>
      <c r="V543" s="98">
        <f t="shared" si="301"/>
        <v>32819.040000000001</v>
      </c>
      <c r="W543" s="147">
        <f t="shared" si="302"/>
        <v>107948.16</v>
      </c>
      <c r="X543" s="2"/>
      <c r="Y543" s="148" t="s">
        <v>79</v>
      </c>
      <c r="Z543" s="149">
        <f t="shared" si="312"/>
        <v>44</v>
      </c>
      <c r="AA543" s="125">
        <f t="shared" si="313"/>
        <v>2008.8</v>
      </c>
      <c r="AB543" s="106">
        <f t="shared" si="314"/>
        <v>100</v>
      </c>
      <c r="AC543" s="98">
        <f t="shared" si="303"/>
        <v>75129.119999999995</v>
      </c>
      <c r="AD543" s="145" t="s">
        <v>71</v>
      </c>
      <c r="AE543" s="146">
        <f>2054+514</f>
        <v>2568</v>
      </c>
      <c r="AF543" s="146"/>
      <c r="AG543" s="125">
        <f>AG542</f>
        <v>12.78</v>
      </c>
      <c r="AH543" s="98">
        <f t="shared" si="304"/>
        <v>32819.040000000001</v>
      </c>
      <c r="AI543" s="147">
        <f t="shared" si="305"/>
        <v>107948.16</v>
      </c>
    </row>
    <row r="544" spans="1:35" ht="30" customHeight="1" x14ac:dyDescent="0.15">
      <c r="A544" s="232" t="s">
        <v>80</v>
      </c>
      <c r="B544" s="233">
        <f t="shared" si="306"/>
        <v>44</v>
      </c>
      <c r="C544" s="234">
        <f t="shared" si="307"/>
        <v>1296</v>
      </c>
      <c r="D544" s="235">
        <f t="shared" si="308"/>
        <v>100</v>
      </c>
      <c r="E544" s="228">
        <f t="shared" si="297"/>
        <v>48470.400000000001</v>
      </c>
      <c r="F544" s="229" t="s">
        <v>9</v>
      </c>
      <c r="G544" s="230">
        <v>1764</v>
      </c>
      <c r="H544" s="230"/>
      <c r="I544" s="234">
        <f>I535</f>
        <v>16.87</v>
      </c>
      <c r="J544" s="228">
        <f t="shared" si="298"/>
        <v>29758.68</v>
      </c>
      <c r="K544" s="231">
        <f t="shared" si="299"/>
        <v>78229.08</v>
      </c>
      <c r="L544" s="2"/>
      <c r="M544" s="148" t="s">
        <v>80</v>
      </c>
      <c r="N544" s="149">
        <f t="shared" si="309"/>
        <v>44</v>
      </c>
      <c r="O544" s="125">
        <f t="shared" si="310"/>
        <v>2008.8</v>
      </c>
      <c r="P544" s="106">
        <f t="shared" si="311"/>
        <v>100</v>
      </c>
      <c r="Q544" s="98">
        <f t="shared" si="300"/>
        <v>75129.119999999995</v>
      </c>
      <c r="R544" s="145" t="s">
        <v>9</v>
      </c>
      <c r="S544" s="146">
        <v>1764</v>
      </c>
      <c r="T544" s="146"/>
      <c r="U544" s="125">
        <f>U535</f>
        <v>11.87</v>
      </c>
      <c r="V544" s="98">
        <f t="shared" si="301"/>
        <v>20938.68</v>
      </c>
      <c r="W544" s="147">
        <f t="shared" si="302"/>
        <v>96067.8</v>
      </c>
      <c r="X544" s="2"/>
      <c r="Y544" s="148" t="s">
        <v>80</v>
      </c>
      <c r="Z544" s="149">
        <f t="shared" si="312"/>
        <v>44</v>
      </c>
      <c r="AA544" s="125">
        <f t="shared" si="313"/>
        <v>2008.8</v>
      </c>
      <c r="AB544" s="106">
        <f t="shared" si="314"/>
        <v>100</v>
      </c>
      <c r="AC544" s="98">
        <f t="shared" si="303"/>
        <v>75129.119999999995</v>
      </c>
      <c r="AD544" s="145" t="s">
        <v>9</v>
      </c>
      <c r="AE544" s="146">
        <v>1764</v>
      </c>
      <c r="AF544" s="146"/>
      <c r="AG544" s="125">
        <f>AG535</f>
        <v>11.87</v>
      </c>
      <c r="AH544" s="98">
        <f t="shared" si="304"/>
        <v>20938.68</v>
      </c>
      <c r="AI544" s="147">
        <f t="shared" si="305"/>
        <v>96067.8</v>
      </c>
    </row>
    <row r="545" spans="1:35" ht="30" customHeight="1" x14ac:dyDescent="0.15">
      <c r="A545" s="232" t="s">
        <v>81</v>
      </c>
      <c r="B545" s="233">
        <f t="shared" si="306"/>
        <v>44</v>
      </c>
      <c r="C545" s="234">
        <f t="shared" si="307"/>
        <v>1296</v>
      </c>
      <c r="D545" s="235">
        <f t="shared" si="308"/>
        <v>100</v>
      </c>
      <c r="E545" s="228">
        <f t="shared" si="297"/>
        <v>48470.400000000001</v>
      </c>
      <c r="F545" s="229" t="s">
        <v>9</v>
      </c>
      <c r="G545" s="230">
        <v>1980</v>
      </c>
      <c r="H545" s="230"/>
      <c r="I545" s="236">
        <f>I544</f>
        <v>16.87</v>
      </c>
      <c r="J545" s="228">
        <f t="shared" si="298"/>
        <v>33402.6</v>
      </c>
      <c r="K545" s="231">
        <f t="shared" si="299"/>
        <v>81873</v>
      </c>
      <c r="L545" s="2"/>
      <c r="M545" s="148" t="s">
        <v>81</v>
      </c>
      <c r="N545" s="149">
        <f t="shared" si="309"/>
        <v>44</v>
      </c>
      <c r="O545" s="125">
        <f t="shared" si="310"/>
        <v>2008.8</v>
      </c>
      <c r="P545" s="106">
        <f t="shared" si="311"/>
        <v>100</v>
      </c>
      <c r="Q545" s="98">
        <f t="shared" si="300"/>
        <v>75129.119999999995</v>
      </c>
      <c r="R545" s="145" t="s">
        <v>9</v>
      </c>
      <c r="S545" s="146">
        <v>1980</v>
      </c>
      <c r="T545" s="146"/>
      <c r="U545" s="127">
        <f>U544</f>
        <v>11.87</v>
      </c>
      <c r="V545" s="98">
        <f t="shared" si="301"/>
        <v>23502.6</v>
      </c>
      <c r="W545" s="147">
        <f t="shared" si="302"/>
        <v>98631.72</v>
      </c>
      <c r="X545" s="2"/>
      <c r="Y545" s="148" t="s">
        <v>81</v>
      </c>
      <c r="Z545" s="149">
        <f t="shared" si="312"/>
        <v>44</v>
      </c>
      <c r="AA545" s="125">
        <f t="shared" si="313"/>
        <v>2008.8</v>
      </c>
      <c r="AB545" s="106">
        <f t="shared" si="314"/>
        <v>100</v>
      </c>
      <c r="AC545" s="98">
        <f t="shared" si="303"/>
        <v>75129.119999999995</v>
      </c>
      <c r="AD545" s="145" t="s">
        <v>9</v>
      </c>
      <c r="AE545" s="146">
        <v>1980</v>
      </c>
      <c r="AF545" s="146"/>
      <c r="AG545" s="127">
        <f>AG544</f>
        <v>11.87</v>
      </c>
      <c r="AH545" s="98">
        <f t="shared" si="304"/>
        <v>23502.6</v>
      </c>
      <c r="AI545" s="147">
        <f t="shared" si="305"/>
        <v>98631.72</v>
      </c>
    </row>
    <row r="546" spans="1:35" ht="30" customHeight="1" thickBot="1" x14ac:dyDescent="0.2">
      <c r="A546" s="237" t="s">
        <v>82</v>
      </c>
      <c r="B546" s="238">
        <f t="shared" si="306"/>
        <v>44</v>
      </c>
      <c r="C546" s="239">
        <f t="shared" si="307"/>
        <v>1296</v>
      </c>
      <c r="D546" s="238">
        <f t="shared" si="308"/>
        <v>100</v>
      </c>
      <c r="E546" s="240">
        <f t="shared" si="297"/>
        <v>48470.400000000001</v>
      </c>
      <c r="F546" s="241" t="s">
        <v>9</v>
      </c>
      <c r="G546" s="242">
        <v>2034</v>
      </c>
      <c r="H546" s="242"/>
      <c r="I546" s="239">
        <f>I545</f>
        <v>16.87</v>
      </c>
      <c r="J546" s="240">
        <f t="shared" si="298"/>
        <v>34313.58</v>
      </c>
      <c r="K546" s="243">
        <f t="shared" si="299"/>
        <v>82783.98</v>
      </c>
      <c r="L546" s="2"/>
      <c r="M546" s="150" t="s">
        <v>82</v>
      </c>
      <c r="N546" s="151">
        <f t="shared" si="309"/>
        <v>44</v>
      </c>
      <c r="O546" s="126">
        <f t="shared" si="310"/>
        <v>2008.8</v>
      </c>
      <c r="P546" s="152">
        <f t="shared" si="311"/>
        <v>100</v>
      </c>
      <c r="Q546" s="99">
        <f t="shared" si="300"/>
        <v>75129.119999999995</v>
      </c>
      <c r="R546" s="153" t="s">
        <v>9</v>
      </c>
      <c r="S546" s="154">
        <v>2034</v>
      </c>
      <c r="T546" s="154"/>
      <c r="U546" s="126">
        <f>U545</f>
        <v>11.87</v>
      </c>
      <c r="V546" s="99">
        <f t="shared" si="301"/>
        <v>24143.58</v>
      </c>
      <c r="W546" s="155">
        <f t="shared" si="302"/>
        <v>99272.7</v>
      </c>
      <c r="X546" s="2"/>
      <c r="Y546" s="150" t="s">
        <v>82</v>
      </c>
      <c r="Z546" s="151">
        <f t="shared" si="312"/>
        <v>44</v>
      </c>
      <c r="AA546" s="126">
        <f t="shared" si="313"/>
        <v>2008.8</v>
      </c>
      <c r="AB546" s="152">
        <f t="shared" si="314"/>
        <v>100</v>
      </c>
      <c r="AC546" s="99">
        <f t="shared" si="303"/>
        <v>75129.119999999995</v>
      </c>
      <c r="AD546" s="153" t="s">
        <v>9</v>
      </c>
      <c r="AE546" s="154">
        <v>2034</v>
      </c>
      <c r="AF546" s="154"/>
      <c r="AG546" s="126">
        <f>AG545</f>
        <v>11.87</v>
      </c>
      <c r="AH546" s="99">
        <f t="shared" si="304"/>
        <v>24143.58</v>
      </c>
      <c r="AI546" s="155">
        <f t="shared" si="305"/>
        <v>99272.7</v>
      </c>
    </row>
    <row r="547" spans="1:35" ht="30" customHeight="1" thickBot="1" x14ac:dyDescent="0.2">
      <c r="A547" s="251" t="s">
        <v>41</v>
      </c>
      <c r="B547" s="245"/>
      <c r="C547" s="245"/>
      <c r="D547" s="245"/>
      <c r="E547" s="246">
        <f>SUM(E535:E546)</f>
        <v>581644.80000000016</v>
      </c>
      <c r="F547" s="247"/>
      <c r="G547" s="248">
        <f>SUM(G535:G546)</f>
        <v>29209</v>
      </c>
      <c r="H547" s="248"/>
      <c r="I547" s="245"/>
      <c r="J547" s="246">
        <f>SUM(J535:J546)</f>
        <v>505638.06999999995</v>
      </c>
      <c r="K547" s="249">
        <f>SUM(K535:K546)</f>
        <v>1087282.8699999999</v>
      </c>
      <c r="L547" s="89" t="s">
        <v>113</v>
      </c>
      <c r="M547" s="164" t="s">
        <v>41</v>
      </c>
      <c r="N547" s="157"/>
      <c r="O547" s="157"/>
      <c r="P547" s="157"/>
      <c r="Q547" s="158">
        <f>SUM(Q535:Q546)</f>
        <v>901549.44</v>
      </c>
      <c r="R547" s="159"/>
      <c r="S547" s="160">
        <f>SUM(S535:S546)</f>
        <v>29209</v>
      </c>
      <c r="T547" s="160"/>
      <c r="U547" s="157"/>
      <c r="V547" s="158">
        <f>SUM(V535:V546)</f>
        <v>354966.35</v>
      </c>
      <c r="W547" s="161">
        <f>SUM(W535:W546)</f>
        <v>1256515.7899999998</v>
      </c>
      <c r="X547" s="89" t="s">
        <v>113</v>
      </c>
      <c r="Y547" s="164" t="s">
        <v>41</v>
      </c>
      <c r="Z547" s="157"/>
      <c r="AA547" s="157"/>
      <c r="AB547" s="157"/>
      <c r="AC547" s="158">
        <f>SUM(AC535:AC546)</f>
        <v>901549.44</v>
      </c>
      <c r="AD547" s="159"/>
      <c r="AE547" s="160">
        <f>SUM(AE535:AE546)</f>
        <v>29209</v>
      </c>
      <c r="AF547" s="160"/>
      <c r="AG547" s="157"/>
      <c r="AH547" s="158">
        <f>SUM(AH535:AH546)</f>
        <v>354966.35</v>
      </c>
      <c r="AI547" s="161">
        <f>SUM(AI535:AI546)</f>
        <v>1256515.7899999998</v>
      </c>
    </row>
    <row r="548" spans="1:35" ht="15" customHeight="1" x14ac:dyDescent="0.15">
      <c r="A548" s="214"/>
      <c r="B548" s="250"/>
      <c r="C548" s="250"/>
      <c r="D548" s="250"/>
      <c r="E548" s="250"/>
      <c r="F548" s="250"/>
      <c r="G548" s="250"/>
      <c r="H548" s="250"/>
      <c r="I548" s="250"/>
      <c r="J548" s="250"/>
      <c r="K548" s="250"/>
      <c r="L548" s="89"/>
      <c r="N548" s="162"/>
      <c r="O548" s="162"/>
      <c r="P548" s="162"/>
      <c r="Q548" s="162"/>
      <c r="R548" s="162"/>
      <c r="S548" s="162"/>
      <c r="T548" s="162"/>
      <c r="U548" s="162"/>
      <c r="V548" s="162"/>
      <c r="W548" s="162"/>
      <c r="X548" s="89"/>
      <c r="Z548" s="162"/>
      <c r="AA548" s="162"/>
      <c r="AB548" s="162"/>
      <c r="AC548" s="162"/>
      <c r="AD548" s="162"/>
      <c r="AE548" s="162"/>
      <c r="AF548" s="162"/>
      <c r="AG548" s="162"/>
      <c r="AH548" s="162"/>
      <c r="AI548" s="162"/>
    </row>
    <row r="549" spans="1:35" x14ac:dyDescent="0.15">
      <c r="A549" s="211" t="s">
        <v>153</v>
      </c>
      <c r="B549" s="212">
        <f>B524+1</f>
        <v>20</v>
      </c>
      <c r="C549" s="213"/>
      <c r="D549" s="213"/>
      <c r="E549" s="213"/>
      <c r="F549" s="213"/>
      <c r="G549" s="213"/>
      <c r="H549" s="213"/>
      <c r="I549" s="213"/>
      <c r="J549" s="213"/>
      <c r="K549" s="692" t="str">
        <f>IF(K572-W572&lt;=0,"現状のまま","メニュー変更")</f>
        <v>現状のまま</v>
      </c>
      <c r="L549" s="2"/>
      <c r="M549" s="47" t="s">
        <v>153</v>
      </c>
      <c r="N549" s="62">
        <f>N524+1</f>
        <v>20</v>
      </c>
      <c r="X549" s="2"/>
      <c r="Y549" s="47" t="s">
        <v>153</v>
      </c>
      <c r="Z549" s="62" t="e">
        <f>Z524+1</f>
        <v>#REF!</v>
      </c>
    </row>
    <row r="550" spans="1:35" x14ac:dyDescent="0.15">
      <c r="A550" s="214"/>
      <c r="B550" s="213"/>
      <c r="C550" s="213"/>
      <c r="D550" s="213"/>
      <c r="E550" s="213"/>
      <c r="F550" s="213"/>
      <c r="G550" s="213"/>
      <c r="H550" s="213"/>
      <c r="I550" s="213"/>
      <c r="J550" s="213"/>
      <c r="K550" s="692"/>
      <c r="L550" s="2"/>
      <c r="X550" s="2"/>
    </row>
    <row r="551" spans="1:35" x14ac:dyDescent="0.15">
      <c r="A551" s="214"/>
      <c r="B551" s="213"/>
      <c r="C551" s="213"/>
      <c r="D551" s="213"/>
      <c r="E551" s="213"/>
      <c r="F551" s="213"/>
      <c r="G551" s="213"/>
      <c r="H551" s="213"/>
      <c r="I551" s="213"/>
      <c r="J551" s="213"/>
      <c r="K551" s="692"/>
      <c r="L551" s="2"/>
      <c r="X551" s="2"/>
    </row>
    <row r="552" spans="1:35" ht="17.25" x14ac:dyDescent="0.15">
      <c r="A552" s="694" t="str">
        <f>$A$5</f>
        <v>平成29年度小郡市役所庁舎外25施設電力需給</v>
      </c>
      <c r="B552" s="694"/>
      <c r="C552" s="694"/>
      <c r="D552" s="694"/>
      <c r="E552" s="694"/>
      <c r="F552" s="694"/>
      <c r="G552" s="694"/>
      <c r="H552" s="694"/>
      <c r="I552" s="694"/>
      <c r="J552" s="694"/>
      <c r="K552" s="694"/>
      <c r="L552" s="2"/>
      <c r="M552" s="553" t="str">
        <f>$A$5</f>
        <v>平成29年度小郡市役所庁舎外25施設電力需給</v>
      </c>
      <c r="N552" s="553"/>
      <c r="O552" s="553"/>
      <c r="P552" s="553"/>
      <c r="Q552" s="553"/>
      <c r="R552" s="553"/>
      <c r="S552" s="553"/>
      <c r="T552" s="553"/>
      <c r="U552" s="553"/>
      <c r="V552" s="553"/>
      <c r="W552" s="553"/>
      <c r="X552" s="2"/>
      <c r="Y552" s="553" t="str">
        <f>$A$5</f>
        <v>平成29年度小郡市役所庁舎外25施設電力需給</v>
      </c>
      <c r="Z552" s="553"/>
      <c r="AA552" s="553"/>
      <c r="AB552" s="553"/>
      <c r="AC552" s="553"/>
      <c r="AD552" s="553"/>
      <c r="AE552" s="553"/>
      <c r="AF552" s="553"/>
      <c r="AG552" s="553"/>
      <c r="AH552" s="553"/>
      <c r="AI552" s="553"/>
    </row>
    <row r="553" spans="1:35" x14ac:dyDescent="0.15">
      <c r="A553" s="689" t="str">
        <f>$A$6</f>
        <v>（平成３０年１月～平成３０年１２月期間中の予定金額）</v>
      </c>
      <c r="B553" s="689"/>
      <c r="C553" s="689"/>
      <c r="D553" s="689"/>
      <c r="E553" s="689"/>
      <c r="F553" s="689"/>
      <c r="G553" s="689"/>
      <c r="H553" s="689"/>
      <c r="I553" s="689"/>
      <c r="J553" s="689"/>
      <c r="K553" s="689"/>
      <c r="L553" s="2"/>
      <c r="M553" s="555" t="str">
        <f>$A$6</f>
        <v>（平成３０年１月～平成３０年１２月期間中の予定金額）</v>
      </c>
      <c r="N553" s="555"/>
      <c r="O553" s="555"/>
      <c r="P553" s="555"/>
      <c r="Q553" s="555"/>
      <c r="R553" s="555"/>
      <c r="S553" s="555"/>
      <c r="T553" s="555"/>
      <c r="U553" s="555"/>
      <c r="V553" s="555"/>
      <c r="W553" s="555"/>
      <c r="X553" s="2"/>
      <c r="Y553" s="555" t="str">
        <f>$A$6</f>
        <v>（平成３０年１月～平成３０年１２月期間中の予定金額）</v>
      </c>
      <c r="Z553" s="555"/>
      <c r="AA553" s="555"/>
      <c r="AB553" s="555"/>
      <c r="AC553" s="555"/>
      <c r="AD553" s="555"/>
      <c r="AE553" s="555"/>
      <c r="AF553" s="555"/>
      <c r="AG553" s="555"/>
      <c r="AH553" s="555"/>
      <c r="AI553" s="555"/>
    </row>
    <row r="554" spans="1:35" ht="14.25" thickBot="1" x14ac:dyDescent="0.2">
      <c r="A554" s="252" t="s">
        <v>122</v>
      </c>
      <c r="B554" s="213"/>
      <c r="C554" s="213"/>
      <c r="D554" s="213"/>
      <c r="E554" s="213"/>
      <c r="F554" s="213"/>
      <c r="G554" s="213"/>
      <c r="H554" s="213"/>
      <c r="I554" s="213"/>
      <c r="J554" s="213"/>
      <c r="K554" s="211" t="s">
        <v>84</v>
      </c>
      <c r="L554" s="2"/>
      <c r="M554" s="209" t="s">
        <v>122</v>
      </c>
      <c r="W554" s="47" t="s">
        <v>70</v>
      </c>
      <c r="X554" s="2"/>
      <c r="Y554" s="209" t="s">
        <v>122</v>
      </c>
      <c r="AI554" s="47" t="s">
        <v>70</v>
      </c>
    </row>
    <row r="555" spans="1:35" ht="18" customHeight="1" thickBot="1" x14ac:dyDescent="0.2">
      <c r="A555" s="695" t="s">
        <v>33</v>
      </c>
      <c r="B555" s="683" t="s">
        <v>24</v>
      </c>
      <c r="C555" s="684"/>
      <c r="D555" s="684"/>
      <c r="E555" s="685"/>
      <c r="F555" s="686" t="s">
        <v>34</v>
      </c>
      <c r="G555" s="687"/>
      <c r="H555" s="687"/>
      <c r="I555" s="687"/>
      <c r="J555" s="688"/>
      <c r="K555" s="667" t="s">
        <v>35</v>
      </c>
      <c r="L555" s="2"/>
      <c r="M555" s="567" t="s">
        <v>33</v>
      </c>
      <c r="N555" s="570" t="s">
        <v>24</v>
      </c>
      <c r="O555" s="571"/>
      <c r="P555" s="571"/>
      <c r="Q555" s="572"/>
      <c r="R555" s="573" t="s">
        <v>34</v>
      </c>
      <c r="S555" s="574"/>
      <c r="T555" s="574"/>
      <c r="U555" s="574"/>
      <c r="V555" s="575"/>
      <c r="W555" s="544" t="s">
        <v>35</v>
      </c>
      <c r="X555" s="2"/>
      <c r="Y555" s="567" t="s">
        <v>33</v>
      </c>
      <c r="Z555" s="570" t="s">
        <v>24</v>
      </c>
      <c r="AA555" s="571"/>
      <c r="AB555" s="571"/>
      <c r="AC555" s="572"/>
      <c r="AD555" s="573" t="s">
        <v>34</v>
      </c>
      <c r="AE555" s="574"/>
      <c r="AF555" s="574"/>
      <c r="AG555" s="574"/>
      <c r="AH555" s="575"/>
      <c r="AI555" s="544" t="s">
        <v>35</v>
      </c>
    </row>
    <row r="556" spans="1:35" ht="13.5" customHeight="1" x14ac:dyDescent="0.15">
      <c r="A556" s="696"/>
      <c r="B556" s="669" t="s">
        <v>28</v>
      </c>
      <c r="C556" s="667" t="s">
        <v>29</v>
      </c>
      <c r="D556" s="669" t="s">
        <v>25</v>
      </c>
      <c r="E556" s="678" t="s">
        <v>31</v>
      </c>
      <c r="F556" s="679" t="s">
        <v>36</v>
      </c>
      <c r="G556" s="680"/>
      <c r="H556" s="216"/>
      <c r="I556" s="667" t="s">
        <v>37</v>
      </c>
      <c r="J556" s="669" t="s">
        <v>38</v>
      </c>
      <c r="K556" s="668"/>
      <c r="L556" s="2"/>
      <c r="M556" s="568"/>
      <c r="N556" s="546" t="s">
        <v>28</v>
      </c>
      <c r="O556" s="544" t="s">
        <v>29</v>
      </c>
      <c r="P556" s="546" t="s">
        <v>25</v>
      </c>
      <c r="Q556" s="582" t="s">
        <v>31</v>
      </c>
      <c r="R556" s="540" t="s">
        <v>36</v>
      </c>
      <c r="S556" s="541"/>
      <c r="T556" s="135"/>
      <c r="U556" s="544" t="s">
        <v>37</v>
      </c>
      <c r="V556" s="546" t="s">
        <v>38</v>
      </c>
      <c r="W556" s="545"/>
      <c r="X556" s="2"/>
      <c r="Y556" s="568"/>
      <c r="Z556" s="546" t="s">
        <v>28</v>
      </c>
      <c r="AA556" s="544" t="s">
        <v>29</v>
      </c>
      <c r="AB556" s="546" t="s">
        <v>25</v>
      </c>
      <c r="AC556" s="582" t="s">
        <v>31</v>
      </c>
      <c r="AD556" s="540" t="s">
        <v>36</v>
      </c>
      <c r="AE556" s="541"/>
      <c r="AF556" s="135"/>
      <c r="AG556" s="544" t="s">
        <v>37</v>
      </c>
      <c r="AH556" s="546" t="s">
        <v>38</v>
      </c>
      <c r="AI556" s="545"/>
    </row>
    <row r="557" spans="1:35" x14ac:dyDescent="0.15">
      <c r="A557" s="696"/>
      <c r="B557" s="669"/>
      <c r="C557" s="668"/>
      <c r="D557" s="669"/>
      <c r="E557" s="669"/>
      <c r="F557" s="681"/>
      <c r="G557" s="682"/>
      <c r="H557" s="217"/>
      <c r="I557" s="668"/>
      <c r="J557" s="669"/>
      <c r="K557" s="668"/>
      <c r="L557" s="2"/>
      <c r="M557" s="568"/>
      <c r="N557" s="546"/>
      <c r="O557" s="545"/>
      <c r="P557" s="546"/>
      <c r="Q557" s="546"/>
      <c r="R557" s="542"/>
      <c r="S557" s="543"/>
      <c r="T557" s="136"/>
      <c r="U557" s="545"/>
      <c r="V557" s="546"/>
      <c r="W557" s="545"/>
      <c r="X557" s="2"/>
      <c r="Y557" s="568"/>
      <c r="Z557" s="546"/>
      <c r="AA557" s="545"/>
      <c r="AB557" s="546"/>
      <c r="AC557" s="546"/>
      <c r="AD557" s="542"/>
      <c r="AE557" s="543"/>
      <c r="AF557" s="136"/>
      <c r="AG557" s="545"/>
      <c r="AH557" s="546"/>
      <c r="AI557" s="545"/>
    </row>
    <row r="558" spans="1:35" ht="23.25" customHeight="1" x14ac:dyDescent="0.15">
      <c r="A558" s="696"/>
      <c r="B558" s="218" t="s">
        <v>13</v>
      </c>
      <c r="C558" s="219" t="s">
        <v>30</v>
      </c>
      <c r="D558" s="218" t="s">
        <v>14</v>
      </c>
      <c r="E558" s="218" t="s">
        <v>40</v>
      </c>
      <c r="F558" s="665" t="s">
        <v>15</v>
      </c>
      <c r="G558" s="666"/>
      <c r="H558" s="220"/>
      <c r="I558" s="219" t="s">
        <v>30</v>
      </c>
      <c r="J558" s="218" t="s">
        <v>40</v>
      </c>
      <c r="K558" s="218" t="s">
        <v>40</v>
      </c>
      <c r="L558" s="2"/>
      <c r="M558" s="568"/>
      <c r="N558" s="137" t="s">
        <v>152</v>
      </c>
      <c r="O558" s="138" t="s">
        <v>30</v>
      </c>
      <c r="P558" s="137" t="s">
        <v>14</v>
      </c>
      <c r="Q558" s="137" t="s">
        <v>40</v>
      </c>
      <c r="R558" s="549" t="s">
        <v>15</v>
      </c>
      <c r="S558" s="550"/>
      <c r="T558" s="139"/>
      <c r="U558" s="138" t="s">
        <v>30</v>
      </c>
      <c r="V558" s="137" t="s">
        <v>40</v>
      </c>
      <c r="W558" s="137" t="s">
        <v>40</v>
      </c>
      <c r="X558" s="2"/>
      <c r="Y558" s="568"/>
      <c r="Z558" s="137" t="s">
        <v>152</v>
      </c>
      <c r="AA558" s="138" t="s">
        <v>30</v>
      </c>
      <c r="AB558" s="137" t="s">
        <v>14</v>
      </c>
      <c r="AC558" s="137" t="s">
        <v>40</v>
      </c>
      <c r="AD558" s="549" t="s">
        <v>15</v>
      </c>
      <c r="AE558" s="550"/>
      <c r="AF558" s="139"/>
      <c r="AG558" s="138" t="s">
        <v>30</v>
      </c>
      <c r="AH558" s="137" t="s">
        <v>40</v>
      </c>
      <c r="AI558" s="137" t="s">
        <v>40</v>
      </c>
    </row>
    <row r="559" spans="1:35" ht="15.75" customHeight="1" thickBot="1" x14ac:dyDescent="0.2">
      <c r="A559" s="697"/>
      <c r="B559" s="221" t="s">
        <v>16</v>
      </c>
      <c r="C559" s="221" t="s">
        <v>17</v>
      </c>
      <c r="D559" s="221" t="s">
        <v>18</v>
      </c>
      <c r="E559" s="221" t="s">
        <v>19</v>
      </c>
      <c r="F559" s="222"/>
      <c r="G559" s="223" t="s">
        <v>20</v>
      </c>
      <c r="H559" s="223"/>
      <c r="I559" s="221" t="s">
        <v>21</v>
      </c>
      <c r="J559" s="221" t="s">
        <v>22</v>
      </c>
      <c r="K559" s="223" t="s">
        <v>23</v>
      </c>
      <c r="L559" s="2"/>
      <c r="M559" s="569"/>
      <c r="N559" s="122" t="s">
        <v>16</v>
      </c>
      <c r="O559" s="122" t="s">
        <v>17</v>
      </c>
      <c r="P559" s="122" t="s">
        <v>18</v>
      </c>
      <c r="Q559" s="122" t="s">
        <v>19</v>
      </c>
      <c r="R559" s="140"/>
      <c r="S559" s="141" t="s">
        <v>20</v>
      </c>
      <c r="T559" s="141"/>
      <c r="U559" s="122" t="s">
        <v>21</v>
      </c>
      <c r="V559" s="122" t="s">
        <v>22</v>
      </c>
      <c r="W559" s="141" t="s">
        <v>23</v>
      </c>
      <c r="X559" s="2"/>
      <c r="Y559" s="569"/>
      <c r="Z559" s="122" t="s">
        <v>16</v>
      </c>
      <c r="AA559" s="122" t="s">
        <v>17</v>
      </c>
      <c r="AB559" s="122" t="s">
        <v>18</v>
      </c>
      <c r="AC559" s="122" t="s">
        <v>19</v>
      </c>
      <c r="AD559" s="140"/>
      <c r="AE559" s="141" t="s">
        <v>20</v>
      </c>
      <c r="AF559" s="141"/>
      <c r="AG559" s="122" t="s">
        <v>21</v>
      </c>
      <c r="AH559" s="122" t="s">
        <v>22</v>
      </c>
      <c r="AI559" s="141" t="s">
        <v>23</v>
      </c>
    </row>
    <row r="560" spans="1:35" ht="30" customHeight="1" x14ac:dyDescent="0.15">
      <c r="A560" s="224" t="s">
        <v>83</v>
      </c>
      <c r="B560" s="225">
        <v>53</v>
      </c>
      <c r="C560" s="226">
        <v>1296</v>
      </c>
      <c r="D560" s="225">
        <v>100</v>
      </c>
      <c r="E560" s="228">
        <f t="shared" ref="E560:E571" si="315">ROUNDDOWN(B560*C560*((185-D560)/100),2)</f>
        <v>58384.800000000003</v>
      </c>
      <c r="F560" s="229" t="s">
        <v>85</v>
      </c>
      <c r="G560" s="230">
        <v>4171</v>
      </c>
      <c r="H560" s="230"/>
      <c r="I560" s="226">
        <v>16.87</v>
      </c>
      <c r="J560" s="228">
        <f t="shared" ref="J560:J571" si="316">ROUNDDOWN(G560*I560,2)</f>
        <v>70364.77</v>
      </c>
      <c r="K560" s="231">
        <f t="shared" ref="K560:K571" si="317">ROUNDDOWN(J560+E560,2)</f>
        <v>128749.57</v>
      </c>
      <c r="L560" s="2"/>
      <c r="M560" s="142" t="s">
        <v>83</v>
      </c>
      <c r="N560" s="143">
        <v>53</v>
      </c>
      <c r="O560" s="123">
        <v>2008.8</v>
      </c>
      <c r="P560" s="163">
        <v>100</v>
      </c>
      <c r="Q560" s="98">
        <f t="shared" ref="Q560:Q571" si="318">ROUNDDOWN(N560*O560*((185-P560)/100),2)</f>
        <v>90496.44</v>
      </c>
      <c r="R560" s="145" t="s">
        <v>85</v>
      </c>
      <c r="S560" s="146">
        <v>4171</v>
      </c>
      <c r="T560" s="146"/>
      <c r="U560" s="124">
        <v>11.87</v>
      </c>
      <c r="V560" s="98">
        <f t="shared" ref="V560:V571" si="319">ROUNDDOWN(S560*U560,2)</f>
        <v>49509.77</v>
      </c>
      <c r="W560" s="147">
        <f t="shared" ref="W560:W571" si="320">ROUNDDOWN(V560+Q560,2)</f>
        <v>140006.21</v>
      </c>
      <c r="X560" s="2"/>
      <c r="Y560" s="142" t="s">
        <v>83</v>
      </c>
      <c r="Z560" s="143">
        <v>41</v>
      </c>
      <c r="AA560" s="123">
        <v>2008.8</v>
      </c>
      <c r="AB560" s="163">
        <v>100</v>
      </c>
      <c r="AC560" s="98">
        <f t="shared" ref="AC560:AC571" si="321">ROUNDDOWN(Z560*AA560*((185-AB560)/100),2)</f>
        <v>70006.679999999993</v>
      </c>
      <c r="AD560" s="145" t="s">
        <v>85</v>
      </c>
      <c r="AE560" s="146">
        <v>4171</v>
      </c>
      <c r="AF560" s="146"/>
      <c r="AG560" s="124">
        <v>11.87</v>
      </c>
      <c r="AH560" s="98">
        <f t="shared" ref="AH560:AH571" si="322">ROUNDDOWN(AE560*AG560,2)</f>
        <v>49509.77</v>
      </c>
      <c r="AI560" s="147">
        <f t="shared" ref="AI560:AI571" si="323">ROUNDDOWN(AH560+AC560,2)</f>
        <v>119516.45</v>
      </c>
    </row>
    <row r="561" spans="1:35" ht="30" customHeight="1" x14ac:dyDescent="0.15">
      <c r="A561" s="232" t="s">
        <v>72</v>
      </c>
      <c r="B561" s="233">
        <f t="shared" ref="B561:B571" si="324">B560</f>
        <v>53</v>
      </c>
      <c r="C561" s="234">
        <f t="shared" ref="C561:C571" si="325">C560</f>
        <v>1296</v>
      </c>
      <c r="D561" s="235">
        <f t="shared" ref="D561:D571" si="326">D560</f>
        <v>100</v>
      </c>
      <c r="E561" s="228">
        <f t="shared" si="315"/>
        <v>58384.800000000003</v>
      </c>
      <c r="F561" s="229" t="s">
        <v>112</v>
      </c>
      <c r="G561" s="230">
        <v>4066</v>
      </c>
      <c r="H561" s="230"/>
      <c r="I561" s="234">
        <f>I560</f>
        <v>16.87</v>
      </c>
      <c r="J561" s="228">
        <f t="shared" si="316"/>
        <v>68593.42</v>
      </c>
      <c r="K561" s="231">
        <f t="shared" si="317"/>
        <v>126978.22</v>
      </c>
      <c r="L561" s="2"/>
      <c r="M561" s="148" t="s">
        <v>72</v>
      </c>
      <c r="N561" s="149">
        <f t="shared" ref="N561:N571" si="327">N560</f>
        <v>53</v>
      </c>
      <c r="O561" s="125">
        <f t="shared" ref="O561:O571" si="328">O560</f>
        <v>2008.8</v>
      </c>
      <c r="P561" s="106">
        <f t="shared" ref="P561:P571" si="329">P560</f>
        <v>100</v>
      </c>
      <c r="Q561" s="98">
        <f t="shared" si="318"/>
        <v>90496.44</v>
      </c>
      <c r="R561" s="145" t="s">
        <v>112</v>
      </c>
      <c r="S561" s="146">
        <v>4066</v>
      </c>
      <c r="T561" s="146"/>
      <c r="U561" s="125">
        <f>U560</f>
        <v>11.87</v>
      </c>
      <c r="V561" s="98">
        <f t="shared" si="319"/>
        <v>48263.42</v>
      </c>
      <c r="W561" s="147">
        <f t="shared" si="320"/>
        <v>138759.85999999999</v>
      </c>
      <c r="X561" s="2"/>
      <c r="Y561" s="148" t="s">
        <v>72</v>
      </c>
      <c r="Z561" s="149">
        <f t="shared" ref="Z561:Z571" si="330">Z560</f>
        <v>41</v>
      </c>
      <c r="AA561" s="125">
        <f t="shared" ref="AA561:AA571" si="331">AA560</f>
        <v>2008.8</v>
      </c>
      <c r="AB561" s="106">
        <f t="shared" ref="AB561:AB571" si="332">AB560</f>
        <v>100</v>
      </c>
      <c r="AC561" s="98">
        <f t="shared" si="321"/>
        <v>70006.679999999993</v>
      </c>
      <c r="AD561" s="145" t="s">
        <v>112</v>
      </c>
      <c r="AE561" s="146">
        <v>4066</v>
      </c>
      <c r="AF561" s="146"/>
      <c r="AG561" s="125">
        <f>AG560</f>
        <v>11.87</v>
      </c>
      <c r="AH561" s="98">
        <f t="shared" si="322"/>
        <v>48263.42</v>
      </c>
      <c r="AI561" s="147">
        <f t="shared" si="323"/>
        <v>118270.1</v>
      </c>
    </row>
    <row r="562" spans="1:35" ht="30" customHeight="1" x14ac:dyDescent="0.15">
      <c r="A562" s="232" t="s">
        <v>73</v>
      </c>
      <c r="B562" s="233">
        <f t="shared" si="324"/>
        <v>53</v>
      </c>
      <c r="C562" s="234">
        <f t="shared" si="325"/>
        <v>1296</v>
      </c>
      <c r="D562" s="235">
        <f t="shared" si="326"/>
        <v>100</v>
      </c>
      <c r="E562" s="228">
        <f t="shared" si="315"/>
        <v>58384.800000000003</v>
      </c>
      <c r="F562" s="229" t="s">
        <v>9</v>
      </c>
      <c r="G562" s="230">
        <v>3313</v>
      </c>
      <c r="H562" s="230"/>
      <c r="I562" s="234">
        <f>I561</f>
        <v>16.87</v>
      </c>
      <c r="J562" s="228">
        <f t="shared" si="316"/>
        <v>55890.31</v>
      </c>
      <c r="K562" s="231">
        <f t="shared" si="317"/>
        <v>114275.11</v>
      </c>
      <c r="L562" s="2"/>
      <c r="M562" s="148" t="s">
        <v>73</v>
      </c>
      <c r="N562" s="149">
        <f t="shared" si="327"/>
        <v>53</v>
      </c>
      <c r="O562" s="125">
        <f t="shared" si="328"/>
        <v>2008.8</v>
      </c>
      <c r="P562" s="106">
        <f t="shared" si="329"/>
        <v>100</v>
      </c>
      <c r="Q562" s="98">
        <f t="shared" si="318"/>
        <v>90496.44</v>
      </c>
      <c r="R562" s="145" t="s">
        <v>9</v>
      </c>
      <c r="S562" s="146">
        <v>3313</v>
      </c>
      <c r="T562" s="146"/>
      <c r="U562" s="125">
        <f>U561</f>
        <v>11.87</v>
      </c>
      <c r="V562" s="98">
        <f t="shared" si="319"/>
        <v>39325.31</v>
      </c>
      <c r="W562" s="147">
        <f t="shared" si="320"/>
        <v>129821.75</v>
      </c>
      <c r="X562" s="2"/>
      <c r="Y562" s="148" t="s">
        <v>73</v>
      </c>
      <c r="Z562" s="149">
        <f t="shared" si="330"/>
        <v>41</v>
      </c>
      <c r="AA562" s="125">
        <f t="shared" si="331"/>
        <v>2008.8</v>
      </c>
      <c r="AB562" s="106">
        <f t="shared" si="332"/>
        <v>100</v>
      </c>
      <c r="AC562" s="98">
        <f t="shared" si="321"/>
        <v>70006.679999999993</v>
      </c>
      <c r="AD562" s="145" t="s">
        <v>9</v>
      </c>
      <c r="AE562" s="146">
        <v>3313</v>
      </c>
      <c r="AF562" s="146"/>
      <c r="AG562" s="125">
        <f>AG561</f>
        <v>11.87</v>
      </c>
      <c r="AH562" s="98">
        <f t="shared" si="322"/>
        <v>39325.31</v>
      </c>
      <c r="AI562" s="147">
        <f t="shared" si="323"/>
        <v>109331.99</v>
      </c>
    </row>
    <row r="563" spans="1:35" ht="30" customHeight="1" x14ac:dyDescent="0.15">
      <c r="A563" s="232" t="s">
        <v>74</v>
      </c>
      <c r="B563" s="233">
        <f t="shared" si="324"/>
        <v>53</v>
      </c>
      <c r="C563" s="234">
        <f t="shared" si="325"/>
        <v>1296</v>
      </c>
      <c r="D563" s="235">
        <f t="shared" si="326"/>
        <v>100</v>
      </c>
      <c r="E563" s="228">
        <f t="shared" si="315"/>
        <v>58384.800000000003</v>
      </c>
      <c r="F563" s="229" t="s">
        <v>9</v>
      </c>
      <c r="G563" s="230">
        <v>1770</v>
      </c>
      <c r="H563" s="230"/>
      <c r="I563" s="234">
        <f>I562</f>
        <v>16.87</v>
      </c>
      <c r="J563" s="228">
        <f t="shared" si="316"/>
        <v>29859.9</v>
      </c>
      <c r="K563" s="231">
        <f t="shared" si="317"/>
        <v>88244.7</v>
      </c>
      <c r="L563" s="2"/>
      <c r="M563" s="148" t="s">
        <v>74</v>
      </c>
      <c r="N563" s="149">
        <f t="shared" si="327"/>
        <v>53</v>
      </c>
      <c r="O563" s="125">
        <f t="shared" si="328"/>
        <v>2008.8</v>
      </c>
      <c r="P563" s="106">
        <f t="shared" si="329"/>
        <v>100</v>
      </c>
      <c r="Q563" s="98">
        <f t="shared" si="318"/>
        <v>90496.44</v>
      </c>
      <c r="R563" s="145" t="s">
        <v>9</v>
      </c>
      <c r="S563" s="146">
        <v>1770</v>
      </c>
      <c r="T563" s="146"/>
      <c r="U563" s="125">
        <f>U562</f>
        <v>11.87</v>
      </c>
      <c r="V563" s="98">
        <f t="shared" si="319"/>
        <v>21009.9</v>
      </c>
      <c r="W563" s="147">
        <f t="shared" si="320"/>
        <v>111506.34</v>
      </c>
      <c r="X563" s="2"/>
      <c r="Y563" s="148" t="s">
        <v>74</v>
      </c>
      <c r="Z563" s="149">
        <f t="shared" si="330"/>
        <v>41</v>
      </c>
      <c r="AA563" s="125">
        <f t="shared" si="331"/>
        <v>2008.8</v>
      </c>
      <c r="AB563" s="106">
        <f t="shared" si="332"/>
        <v>100</v>
      </c>
      <c r="AC563" s="98">
        <f t="shared" si="321"/>
        <v>70006.679999999993</v>
      </c>
      <c r="AD563" s="145" t="s">
        <v>9</v>
      </c>
      <c r="AE563" s="146">
        <v>1770</v>
      </c>
      <c r="AF563" s="146"/>
      <c r="AG563" s="125">
        <f>AG562</f>
        <v>11.87</v>
      </c>
      <c r="AH563" s="98">
        <f t="shared" si="322"/>
        <v>21009.9</v>
      </c>
      <c r="AI563" s="147">
        <f t="shared" si="323"/>
        <v>91016.58</v>
      </c>
    </row>
    <row r="564" spans="1:35" ht="30" customHeight="1" x14ac:dyDescent="0.15">
      <c r="A564" s="232" t="s">
        <v>75</v>
      </c>
      <c r="B564" s="233">
        <f t="shared" si="324"/>
        <v>53</v>
      </c>
      <c r="C564" s="234">
        <f t="shared" si="325"/>
        <v>1296</v>
      </c>
      <c r="D564" s="235">
        <f t="shared" si="326"/>
        <v>100</v>
      </c>
      <c r="E564" s="228">
        <f t="shared" si="315"/>
        <v>58384.800000000003</v>
      </c>
      <c r="F564" s="229" t="s">
        <v>9</v>
      </c>
      <c r="G564" s="230">
        <v>2514</v>
      </c>
      <c r="H564" s="230"/>
      <c r="I564" s="234">
        <f>I563</f>
        <v>16.87</v>
      </c>
      <c r="J564" s="228">
        <f t="shared" si="316"/>
        <v>42411.18</v>
      </c>
      <c r="K564" s="231">
        <f t="shared" si="317"/>
        <v>100795.98</v>
      </c>
      <c r="L564" s="2"/>
      <c r="M564" s="148" t="s">
        <v>75</v>
      </c>
      <c r="N564" s="149">
        <f t="shared" si="327"/>
        <v>53</v>
      </c>
      <c r="O564" s="125">
        <f t="shared" si="328"/>
        <v>2008.8</v>
      </c>
      <c r="P564" s="106">
        <f t="shared" si="329"/>
        <v>100</v>
      </c>
      <c r="Q564" s="98">
        <f t="shared" si="318"/>
        <v>90496.44</v>
      </c>
      <c r="R564" s="145" t="s">
        <v>9</v>
      </c>
      <c r="S564" s="146">
        <v>2514</v>
      </c>
      <c r="T564" s="146"/>
      <c r="U564" s="125">
        <f>U563</f>
        <v>11.87</v>
      </c>
      <c r="V564" s="98">
        <f t="shared" si="319"/>
        <v>29841.18</v>
      </c>
      <c r="W564" s="147">
        <f t="shared" si="320"/>
        <v>120337.62</v>
      </c>
      <c r="X564" s="2"/>
      <c r="Y564" s="148" t="s">
        <v>75</v>
      </c>
      <c r="Z564" s="149">
        <f t="shared" si="330"/>
        <v>41</v>
      </c>
      <c r="AA564" s="125">
        <f t="shared" si="331"/>
        <v>2008.8</v>
      </c>
      <c r="AB564" s="106">
        <f t="shared" si="332"/>
        <v>100</v>
      </c>
      <c r="AC564" s="98">
        <f t="shared" si="321"/>
        <v>70006.679999999993</v>
      </c>
      <c r="AD564" s="145" t="s">
        <v>9</v>
      </c>
      <c r="AE564" s="146">
        <v>2514</v>
      </c>
      <c r="AF564" s="146"/>
      <c r="AG564" s="125">
        <f>AG563</f>
        <v>11.87</v>
      </c>
      <c r="AH564" s="98">
        <f t="shared" si="322"/>
        <v>29841.18</v>
      </c>
      <c r="AI564" s="147">
        <f t="shared" si="323"/>
        <v>99847.86</v>
      </c>
    </row>
    <row r="565" spans="1:35" ht="30" customHeight="1" x14ac:dyDescent="0.15">
      <c r="A565" s="232" t="s">
        <v>76</v>
      </c>
      <c r="B565" s="233">
        <f t="shared" si="324"/>
        <v>53</v>
      </c>
      <c r="C565" s="234">
        <f t="shared" si="325"/>
        <v>1296</v>
      </c>
      <c r="D565" s="235">
        <f t="shared" si="326"/>
        <v>100</v>
      </c>
      <c r="E565" s="228">
        <f t="shared" si="315"/>
        <v>58384.800000000003</v>
      </c>
      <c r="F565" s="229" t="s">
        <v>9</v>
      </c>
      <c r="G565" s="230">
        <v>3222</v>
      </c>
      <c r="H565" s="230"/>
      <c r="I565" s="234">
        <f>I564</f>
        <v>16.87</v>
      </c>
      <c r="J565" s="228">
        <f t="shared" si="316"/>
        <v>54355.14</v>
      </c>
      <c r="K565" s="231">
        <f t="shared" si="317"/>
        <v>112739.94</v>
      </c>
      <c r="L565" s="2"/>
      <c r="M565" s="148" t="s">
        <v>76</v>
      </c>
      <c r="N565" s="149">
        <f t="shared" si="327"/>
        <v>53</v>
      </c>
      <c r="O565" s="125">
        <f t="shared" si="328"/>
        <v>2008.8</v>
      </c>
      <c r="P565" s="106">
        <f t="shared" si="329"/>
        <v>100</v>
      </c>
      <c r="Q565" s="98">
        <f t="shared" si="318"/>
        <v>90496.44</v>
      </c>
      <c r="R565" s="145" t="s">
        <v>9</v>
      </c>
      <c r="S565" s="146">
        <v>3222</v>
      </c>
      <c r="T565" s="146"/>
      <c r="U565" s="125">
        <f>U564</f>
        <v>11.87</v>
      </c>
      <c r="V565" s="98">
        <f t="shared" si="319"/>
        <v>38245.14</v>
      </c>
      <c r="W565" s="147">
        <f t="shared" si="320"/>
        <v>128741.58</v>
      </c>
      <c r="X565" s="2"/>
      <c r="Y565" s="148" t="s">
        <v>76</v>
      </c>
      <c r="Z565" s="149">
        <f t="shared" si="330"/>
        <v>41</v>
      </c>
      <c r="AA565" s="125">
        <f t="shared" si="331"/>
        <v>2008.8</v>
      </c>
      <c r="AB565" s="106">
        <f t="shared" si="332"/>
        <v>100</v>
      </c>
      <c r="AC565" s="98">
        <f t="shared" si="321"/>
        <v>70006.679999999993</v>
      </c>
      <c r="AD565" s="145" t="s">
        <v>9</v>
      </c>
      <c r="AE565" s="146">
        <v>3222</v>
      </c>
      <c r="AF565" s="146"/>
      <c r="AG565" s="125">
        <f>AG564</f>
        <v>11.87</v>
      </c>
      <c r="AH565" s="98">
        <f t="shared" si="322"/>
        <v>38245.14</v>
      </c>
      <c r="AI565" s="147">
        <f t="shared" si="323"/>
        <v>108251.82</v>
      </c>
    </row>
    <row r="566" spans="1:35" ht="30" customHeight="1" x14ac:dyDescent="0.15">
      <c r="A566" s="232" t="s">
        <v>77</v>
      </c>
      <c r="B566" s="233">
        <f t="shared" si="324"/>
        <v>53</v>
      </c>
      <c r="C566" s="234">
        <f t="shared" si="325"/>
        <v>1296</v>
      </c>
      <c r="D566" s="235">
        <f t="shared" si="326"/>
        <v>100</v>
      </c>
      <c r="E566" s="228">
        <f t="shared" si="315"/>
        <v>58384.800000000003</v>
      </c>
      <c r="F566" s="229" t="s">
        <v>71</v>
      </c>
      <c r="G566" s="230">
        <v>4770</v>
      </c>
      <c r="H566" s="230"/>
      <c r="I566" s="226">
        <v>18.29</v>
      </c>
      <c r="J566" s="228">
        <f t="shared" si="316"/>
        <v>87243.3</v>
      </c>
      <c r="K566" s="231">
        <f t="shared" si="317"/>
        <v>145628.1</v>
      </c>
      <c r="L566" s="2"/>
      <c r="M566" s="148" t="s">
        <v>77</v>
      </c>
      <c r="N566" s="149">
        <f t="shared" si="327"/>
        <v>53</v>
      </c>
      <c r="O566" s="125">
        <f t="shared" si="328"/>
        <v>2008.8</v>
      </c>
      <c r="P566" s="106">
        <f t="shared" si="329"/>
        <v>100</v>
      </c>
      <c r="Q566" s="98">
        <f t="shared" si="318"/>
        <v>90496.44</v>
      </c>
      <c r="R566" s="145" t="s">
        <v>71</v>
      </c>
      <c r="S566" s="146">
        <v>4770</v>
      </c>
      <c r="T566" s="146"/>
      <c r="U566" s="124">
        <v>12.78</v>
      </c>
      <c r="V566" s="98">
        <f t="shared" si="319"/>
        <v>60960.6</v>
      </c>
      <c r="W566" s="147">
        <f t="shared" si="320"/>
        <v>151457.04</v>
      </c>
      <c r="X566" s="2"/>
      <c r="Y566" s="148" t="s">
        <v>77</v>
      </c>
      <c r="Z566" s="149">
        <f t="shared" si="330"/>
        <v>41</v>
      </c>
      <c r="AA566" s="125">
        <f t="shared" si="331"/>
        <v>2008.8</v>
      </c>
      <c r="AB566" s="106">
        <f t="shared" si="332"/>
        <v>100</v>
      </c>
      <c r="AC566" s="98">
        <f t="shared" si="321"/>
        <v>70006.679999999993</v>
      </c>
      <c r="AD566" s="145" t="s">
        <v>71</v>
      </c>
      <c r="AE566" s="146">
        <v>4770</v>
      </c>
      <c r="AF566" s="146"/>
      <c r="AG566" s="124">
        <v>12.78</v>
      </c>
      <c r="AH566" s="98">
        <f t="shared" si="322"/>
        <v>60960.6</v>
      </c>
      <c r="AI566" s="147">
        <f t="shared" si="323"/>
        <v>130967.28</v>
      </c>
    </row>
    <row r="567" spans="1:35" ht="30" customHeight="1" x14ac:dyDescent="0.15">
      <c r="A567" s="232" t="s">
        <v>78</v>
      </c>
      <c r="B567" s="233">
        <f t="shared" si="324"/>
        <v>53</v>
      </c>
      <c r="C567" s="234">
        <f t="shared" si="325"/>
        <v>1296</v>
      </c>
      <c r="D567" s="235">
        <f t="shared" si="326"/>
        <v>100</v>
      </c>
      <c r="E567" s="228">
        <f t="shared" si="315"/>
        <v>58384.800000000003</v>
      </c>
      <c r="F567" s="229" t="s">
        <v>71</v>
      </c>
      <c r="G567" s="230">
        <v>4128</v>
      </c>
      <c r="H567" s="230"/>
      <c r="I567" s="234">
        <f>I566</f>
        <v>18.29</v>
      </c>
      <c r="J567" s="228">
        <f t="shared" si="316"/>
        <v>75501.119999999995</v>
      </c>
      <c r="K567" s="231">
        <f t="shared" si="317"/>
        <v>133885.92000000001</v>
      </c>
      <c r="L567" s="2"/>
      <c r="M567" s="148" t="s">
        <v>78</v>
      </c>
      <c r="N567" s="149">
        <f t="shared" si="327"/>
        <v>53</v>
      </c>
      <c r="O567" s="125">
        <f t="shared" si="328"/>
        <v>2008.8</v>
      </c>
      <c r="P567" s="106">
        <f t="shared" si="329"/>
        <v>100</v>
      </c>
      <c r="Q567" s="98">
        <f t="shared" si="318"/>
        <v>90496.44</v>
      </c>
      <c r="R567" s="145" t="s">
        <v>71</v>
      </c>
      <c r="S567" s="146">
        <v>4128</v>
      </c>
      <c r="T567" s="146"/>
      <c r="U567" s="125">
        <f>U566</f>
        <v>12.78</v>
      </c>
      <c r="V567" s="98">
        <f t="shared" si="319"/>
        <v>52755.839999999997</v>
      </c>
      <c r="W567" s="147">
        <f t="shared" si="320"/>
        <v>143252.28</v>
      </c>
      <c r="X567" s="2"/>
      <c r="Y567" s="148" t="s">
        <v>78</v>
      </c>
      <c r="Z567" s="149">
        <f t="shared" si="330"/>
        <v>41</v>
      </c>
      <c r="AA567" s="125">
        <f t="shared" si="331"/>
        <v>2008.8</v>
      </c>
      <c r="AB567" s="106">
        <f t="shared" si="332"/>
        <v>100</v>
      </c>
      <c r="AC567" s="98">
        <f t="shared" si="321"/>
        <v>70006.679999999993</v>
      </c>
      <c r="AD567" s="145" t="s">
        <v>71</v>
      </c>
      <c r="AE567" s="146">
        <v>4128</v>
      </c>
      <c r="AF567" s="146"/>
      <c r="AG567" s="125">
        <f>AG566</f>
        <v>12.78</v>
      </c>
      <c r="AH567" s="98">
        <f t="shared" si="322"/>
        <v>52755.839999999997</v>
      </c>
      <c r="AI567" s="147">
        <f t="shared" si="323"/>
        <v>122762.52</v>
      </c>
    </row>
    <row r="568" spans="1:35" ht="30" customHeight="1" x14ac:dyDescent="0.15">
      <c r="A568" s="232" t="s">
        <v>79</v>
      </c>
      <c r="B568" s="233">
        <f t="shared" si="324"/>
        <v>53</v>
      </c>
      <c r="C568" s="234">
        <f t="shared" si="325"/>
        <v>1296</v>
      </c>
      <c r="D568" s="235">
        <f t="shared" si="326"/>
        <v>100</v>
      </c>
      <c r="E568" s="228">
        <f t="shared" si="315"/>
        <v>58384.800000000003</v>
      </c>
      <c r="F568" s="229" t="s">
        <v>71</v>
      </c>
      <c r="G568" s="230">
        <f>2510+628</f>
        <v>3138</v>
      </c>
      <c r="H568" s="230"/>
      <c r="I568" s="234">
        <f>I567</f>
        <v>18.29</v>
      </c>
      <c r="J568" s="228">
        <f t="shared" si="316"/>
        <v>57394.02</v>
      </c>
      <c r="K568" s="231">
        <f t="shared" si="317"/>
        <v>115778.82</v>
      </c>
      <c r="L568" s="2"/>
      <c r="M568" s="148" t="s">
        <v>79</v>
      </c>
      <c r="N568" s="149">
        <f t="shared" si="327"/>
        <v>53</v>
      </c>
      <c r="O568" s="125">
        <f t="shared" si="328"/>
        <v>2008.8</v>
      </c>
      <c r="P568" s="106">
        <f t="shared" si="329"/>
        <v>100</v>
      </c>
      <c r="Q568" s="98">
        <f t="shared" si="318"/>
        <v>90496.44</v>
      </c>
      <c r="R568" s="145" t="s">
        <v>71</v>
      </c>
      <c r="S568" s="146">
        <f>2510+628</f>
        <v>3138</v>
      </c>
      <c r="T568" s="146"/>
      <c r="U568" s="125">
        <f>U567</f>
        <v>12.78</v>
      </c>
      <c r="V568" s="98">
        <f t="shared" si="319"/>
        <v>40103.64</v>
      </c>
      <c r="W568" s="147">
        <f t="shared" si="320"/>
        <v>130600.08</v>
      </c>
      <c r="X568" s="2"/>
      <c r="Y568" s="148" t="s">
        <v>79</v>
      </c>
      <c r="Z568" s="149">
        <f t="shared" si="330"/>
        <v>41</v>
      </c>
      <c r="AA568" s="125">
        <f t="shared" si="331"/>
        <v>2008.8</v>
      </c>
      <c r="AB568" s="106">
        <f t="shared" si="332"/>
        <v>100</v>
      </c>
      <c r="AC568" s="98">
        <f t="shared" si="321"/>
        <v>70006.679999999993</v>
      </c>
      <c r="AD568" s="145" t="s">
        <v>71</v>
      </c>
      <c r="AE568" s="146">
        <f>2510+628</f>
        <v>3138</v>
      </c>
      <c r="AF568" s="146"/>
      <c r="AG568" s="125">
        <f>AG567</f>
        <v>12.78</v>
      </c>
      <c r="AH568" s="98">
        <f t="shared" si="322"/>
        <v>40103.64</v>
      </c>
      <c r="AI568" s="147">
        <f t="shared" si="323"/>
        <v>110110.32</v>
      </c>
    </row>
    <row r="569" spans="1:35" ht="30" customHeight="1" x14ac:dyDescent="0.15">
      <c r="A569" s="232" t="s">
        <v>80</v>
      </c>
      <c r="B569" s="233">
        <f t="shared" si="324"/>
        <v>53</v>
      </c>
      <c r="C569" s="234">
        <f t="shared" si="325"/>
        <v>1296</v>
      </c>
      <c r="D569" s="235">
        <f t="shared" si="326"/>
        <v>100</v>
      </c>
      <c r="E569" s="228">
        <f t="shared" si="315"/>
        <v>58384.800000000003</v>
      </c>
      <c r="F569" s="229" t="s">
        <v>9</v>
      </c>
      <c r="G569" s="230">
        <v>2352</v>
      </c>
      <c r="H569" s="230"/>
      <c r="I569" s="234">
        <f>I560</f>
        <v>16.87</v>
      </c>
      <c r="J569" s="228">
        <f t="shared" si="316"/>
        <v>39678.239999999998</v>
      </c>
      <c r="K569" s="231">
        <f t="shared" si="317"/>
        <v>98063.039999999994</v>
      </c>
      <c r="L569" s="2"/>
      <c r="M569" s="148" t="s">
        <v>80</v>
      </c>
      <c r="N569" s="149">
        <f t="shared" si="327"/>
        <v>53</v>
      </c>
      <c r="O569" s="125">
        <f t="shared" si="328"/>
        <v>2008.8</v>
      </c>
      <c r="P569" s="106">
        <f t="shared" si="329"/>
        <v>100</v>
      </c>
      <c r="Q569" s="98">
        <f t="shared" si="318"/>
        <v>90496.44</v>
      </c>
      <c r="R569" s="145" t="s">
        <v>9</v>
      </c>
      <c r="S569" s="146">
        <v>2352</v>
      </c>
      <c r="T569" s="146"/>
      <c r="U569" s="125">
        <f>U560</f>
        <v>11.87</v>
      </c>
      <c r="V569" s="98">
        <f t="shared" si="319"/>
        <v>27918.240000000002</v>
      </c>
      <c r="W569" s="147">
        <f t="shared" si="320"/>
        <v>118414.68</v>
      </c>
      <c r="X569" s="2"/>
      <c r="Y569" s="148" t="s">
        <v>80</v>
      </c>
      <c r="Z569" s="149">
        <f t="shared" si="330"/>
        <v>41</v>
      </c>
      <c r="AA569" s="125">
        <f t="shared" si="331"/>
        <v>2008.8</v>
      </c>
      <c r="AB569" s="106">
        <f t="shared" si="332"/>
        <v>100</v>
      </c>
      <c r="AC569" s="98">
        <f t="shared" si="321"/>
        <v>70006.679999999993</v>
      </c>
      <c r="AD569" s="145" t="s">
        <v>9</v>
      </c>
      <c r="AE569" s="146">
        <v>2352</v>
      </c>
      <c r="AF569" s="146"/>
      <c r="AG569" s="125">
        <f>AG560</f>
        <v>11.87</v>
      </c>
      <c r="AH569" s="98">
        <f t="shared" si="322"/>
        <v>27918.240000000002</v>
      </c>
      <c r="AI569" s="147">
        <f t="shared" si="323"/>
        <v>97924.92</v>
      </c>
    </row>
    <row r="570" spans="1:35" ht="30" customHeight="1" x14ac:dyDescent="0.15">
      <c r="A570" s="232" t="s">
        <v>81</v>
      </c>
      <c r="B570" s="233">
        <f t="shared" si="324"/>
        <v>53</v>
      </c>
      <c r="C570" s="234">
        <f t="shared" si="325"/>
        <v>1296</v>
      </c>
      <c r="D570" s="235">
        <f t="shared" si="326"/>
        <v>100</v>
      </c>
      <c r="E570" s="228">
        <f t="shared" si="315"/>
        <v>58384.800000000003</v>
      </c>
      <c r="F570" s="229" t="s">
        <v>9</v>
      </c>
      <c r="G570" s="230">
        <v>2838</v>
      </c>
      <c r="H570" s="230"/>
      <c r="I570" s="236">
        <f>I569</f>
        <v>16.87</v>
      </c>
      <c r="J570" s="228">
        <f t="shared" si="316"/>
        <v>47877.06</v>
      </c>
      <c r="K570" s="231">
        <f t="shared" si="317"/>
        <v>106261.86</v>
      </c>
      <c r="L570" s="2"/>
      <c r="M570" s="148" t="s">
        <v>81</v>
      </c>
      <c r="N570" s="149">
        <f t="shared" si="327"/>
        <v>53</v>
      </c>
      <c r="O570" s="125">
        <f t="shared" si="328"/>
        <v>2008.8</v>
      </c>
      <c r="P570" s="106">
        <f t="shared" si="329"/>
        <v>100</v>
      </c>
      <c r="Q570" s="98">
        <f t="shared" si="318"/>
        <v>90496.44</v>
      </c>
      <c r="R570" s="145" t="s">
        <v>9</v>
      </c>
      <c r="S570" s="146">
        <v>2838</v>
      </c>
      <c r="T570" s="146"/>
      <c r="U570" s="127">
        <f>U569</f>
        <v>11.87</v>
      </c>
      <c r="V570" s="98">
        <f t="shared" si="319"/>
        <v>33687.06</v>
      </c>
      <c r="W570" s="147">
        <f t="shared" si="320"/>
        <v>124183.5</v>
      </c>
      <c r="X570" s="2"/>
      <c r="Y570" s="148" t="s">
        <v>81</v>
      </c>
      <c r="Z570" s="149">
        <f t="shared" si="330"/>
        <v>41</v>
      </c>
      <c r="AA570" s="125">
        <f t="shared" si="331"/>
        <v>2008.8</v>
      </c>
      <c r="AB570" s="106">
        <f t="shared" si="332"/>
        <v>100</v>
      </c>
      <c r="AC570" s="98">
        <f t="shared" si="321"/>
        <v>70006.679999999993</v>
      </c>
      <c r="AD570" s="145" t="s">
        <v>9</v>
      </c>
      <c r="AE570" s="146">
        <v>2838</v>
      </c>
      <c r="AF570" s="146"/>
      <c r="AG570" s="127">
        <f>AG569</f>
        <v>11.87</v>
      </c>
      <c r="AH570" s="98">
        <f t="shared" si="322"/>
        <v>33687.06</v>
      </c>
      <c r="AI570" s="147">
        <f t="shared" si="323"/>
        <v>103693.74</v>
      </c>
    </row>
    <row r="571" spans="1:35" ht="30" customHeight="1" thickBot="1" x14ac:dyDescent="0.2">
      <c r="A571" s="237" t="s">
        <v>82</v>
      </c>
      <c r="B571" s="238">
        <f t="shared" si="324"/>
        <v>53</v>
      </c>
      <c r="C571" s="239">
        <f t="shared" si="325"/>
        <v>1296</v>
      </c>
      <c r="D571" s="238">
        <f t="shared" si="326"/>
        <v>100</v>
      </c>
      <c r="E571" s="240">
        <f t="shared" si="315"/>
        <v>58384.800000000003</v>
      </c>
      <c r="F571" s="241" t="s">
        <v>9</v>
      </c>
      <c r="G571" s="242">
        <v>2706</v>
      </c>
      <c r="H571" s="242"/>
      <c r="I571" s="239">
        <f>I570</f>
        <v>16.87</v>
      </c>
      <c r="J571" s="240">
        <f t="shared" si="316"/>
        <v>45650.22</v>
      </c>
      <c r="K571" s="243">
        <f t="shared" si="317"/>
        <v>104035.02</v>
      </c>
      <c r="L571" s="2"/>
      <c r="M571" s="150" t="s">
        <v>82</v>
      </c>
      <c r="N571" s="151">
        <f t="shared" si="327"/>
        <v>53</v>
      </c>
      <c r="O571" s="126">
        <f t="shared" si="328"/>
        <v>2008.8</v>
      </c>
      <c r="P571" s="152">
        <f t="shared" si="329"/>
        <v>100</v>
      </c>
      <c r="Q571" s="99">
        <f t="shared" si="318"/>
        <v>90496.44</v>
      </c>
      <c r="R571" s="153" t="s">
        <v>9</v>
      </c>
      <c r="S571" s="154">
        <v>2706</v>
      </c>
      <c r="T571" s="154"/>
      <c r="U571" s="126">
        <f>U570</f>
        <v>11.87</v>
      </c>
      <c r="V571" s="99">
        <f t="shared" si="319"/>
        <v>32120.22</v>
      </c>
      <c r="W571" s="155">
        <f t="shared" si="320"/>
        <v>122616.66</v>
      </c>
      <c r="X571" s="2"/>
      <c r="Y571" s="150" t="s">
        <v>82</v>
      </c>
      <c r="Z571" s="151">
        <f t="shared" si="330"/>
        <v>41</v>
      </c>
      <c r="AA571" s="126">
        <f t="shared" si="331"/>
        <v>2008.8</v>
      </c>
      <c r="AB571" s="152">
        <f t="shared" si="332"/>
        <v>100</v>
      </c>
      <c r="AC571" s="99">
        <f t="shared" si="321"/>
        <v>70006.679999999993</v>
      </c>
      <c r="AD571" s="153" t="s">
        <v>9</v>
      </c>
      <c r="AE571" s="154">
        <v>2706</v>
      </c>
      <c r="AF571" s="154"/>
      <c r="AG571" s="126">
        <f>AG570</f>
        <v>11.87</v>
      </c>
      <c r="AH571" s="99">
        <f t="shared" si="322"/>
        <v>32120.22</v>
      </c>
      <c r="AI571" s="155">
        <f t="shared" si="323"/>
        <v>102126.9</v>
      </c>
    </row>
    <row r="572" spans="1:35" ht="30" customHeight="1" thickBot="1" x14ac:dyDescent="0.2">
      <c r="A572" s="251" t="s">
        <v>41</v>
      </c>
      <c r="B572" s="245"/>
      <c r="C572" s="245"/>
      <c r="D572" s="245"/>
      <c r="E572" s="246">
        <f>SUM(E560:E571)</f>
        <v>700617.60000000009</v>
      </c>
      <c r="F572" s="247"/>
      <c r="G572" s="248">
        <f>SUM(G560:G571)</f>
        <v>38988</v>
      </c>
      <c r="H572" s="248"/>
      <c r="I572" s="245"/>
      <c r="J572" s="246">
        <f>SUM(J560:J571)</f>
        <v>674818.67999999993</v>
      </c>
      <c r="K572" s="249">
        <f>SUM(K560:K571)</f>
        <v>1375436.2800000003</v>
      </c>
      <c r="L572" s="89" t="s">
        <v>113</v>
      </c>
      <c r="M572" s="164" t="s">
        <v>41</v>
      </c>
      <c r="N572" s="157"/>
      <c r="O572" s="157"/>
      <c r="P572" s="157"/>
      <c r="Q572" s="158">
        <f>SUM(Q560:Q571)</f>
        <v>1085957.2799999998</v>
      </c>
      <c r="R572" s="159"/>
      <c r="S572" s="160">
        <f>SUM(S560:S571)</f>
        <v>38988</v>
      </c>
      <c r="T572" s="160"/>
      <c r="U572" s="157"/>
      <c r="V572" s="158">
        <f>SUM(V560:V571)</f>
        <v>473740.31999999995</v>
      </c>
      <c r="W572" s="161">
        <f>SUM(W560:W571)</f>
        <v>1559697.5999999999</v>
      </c>
      <c r="X572" s="89" t="s">
        <v>113</v>
      </c>
      <c r="Y572" s="164" t="s">
        <v>41</v>
      </c>
      <c r="Z572" s="157"/>
      <c r="AA572" s="157"/>
      <c r="AB572" s="157"/>
      <c r="AC572" s="158">
        <f>SUM(AC560:AC571)</f>
        <v>840080.15999999968</v>
      </c>
      <c r="AD572" s="159"/>
      <c r="AE572" s="160">
        <f>SUM(AE560:AE571)</f>
        <v>38988</v>
      </c>
      <c r="AF572" s="160"/>
      <c r="AG572" s="157"/>
      <c r="AH572" s="158">
        <f>SUM(AH560:AH571)</f>
        <v>473740.31999999995</v>
      </c>
      <c r="AI572" s="161">
        <f>SUM(AI560:AI571)</f>
        <v>1313820.48</v>
      </c>
    </row>
    <row r="573" spans="1:35" ht="15" customHeight="1" x14ac:dyDescent="0.15">
      <c r="A573" s="214"/>
      <c r="B573" s="250"/>
      <c r="C573" s="250"/>
      <c r="D573" s="250"/>
      <c r="E573" s="250"/>
      <c r="F573" s="250"/>
      <c r="G573" s="250"/>
      <c r="H573" s="250"/>
      <c r="I573" s="250"/>
      <c r="J573" s="250"/>
      <c r="K573" s="250"/>
      <c r="L573" s="89"/>
      <c r="N573" s="162"/>
      <c r="O573" s="162"/>
      <c r="P573" s="162"/>
      <c r="Q573" s="162"/>
      <c r="R573" s="162"/>
      <c r="S573" s="162"/>
      <c r="T573" s="162"/>
      <c r="U573" s="162"/>
      <c r="V573" s="162"/>
      <c r="W573" s="162"/>
      <c r="X573" s="89"/>
      <c r="Z573" s="162"/>
      <c r="AA573" s="162"/>
      <c r="AB573" s="162"/>
      <c r="AC573" s="162"/>
      <c r="AD573" s="162"/>
      <c r="AE573" s="162"/>
      <c r="AF573" s="162"/>
      <c r="AG573" s="162"/>
      <c r="AH573" s="162"/>
      <c r="AI573" s="162"/>
    </row>
    <row r="574" spans="1:35" x14ac:dyDescent="0.15">
      <c r="A574" s="211" t="s">
        <v>153</v>
      </c>
      <c r="B574" s="212">
        <f>B549+1</f>
        <v>21</v>
      </c>
      <c r="C574" s="213"/>
      <c r="D574" s="213"/>
      <c r="E574" s="213"/>
      <c r="F574" s="213"/>
      <c r="G574" s="213"/>
      <c r="H574" s="213"/>
      <c r="I574" s="213"/>
      <c r="J574" s="213"/>
      <c r="K574" s="692" t="str">
        <f>IF(K597-W597&lt;=0,"現状のまま","メニュー変更")</f>
        <v>現状のまま</v>
      </c>
      <c r="L574" s="2"/>
      <c r="M574" s="47" t="s">
        <v>153</v>
      </c>
      <c r="N574" s="62">
        <f>N549+1</f>
        <v>21</v>
      </c>
      <c r="X574" s="2"/>
      <c r="Y574" s="47" t="s">
        <v>153</v>
      </c>
      <c r="Z574" s="62" t="e">
        <f>Z549+1</f>
        <v>#REF!</v>
      </c>
    </row>
    <row r="575" spans="1:35" x14ac:dyDescent="0.15">
      <c r="A575" s="214"/>
      <c r="B575" s="213"/>
      <c r="C575" s="213"/>
      <c r="D575" s="213"/>
      <c r="E575" s="213"/>
      <c r="F575" s="213"/>
      <c r="G575" s="213"/>
      <c r="H575" s="213"/>
      <c r="I575" s="213"/>
      <c r="J575" s="213"/>
      <c r="K575" s="692"/>
      <c r="L575" s="2"/>
      <c r="X575" s="2"/>
    </row>
    <row r="576" spans="1:35" x14ac:dyDescent="0.15">
      <c r="A576" s="214"/>
      <c r="B576" s="213"/>
      <c r="C576" s="213"/>
      <c r="D576" s="213"/>
      <c r="E576" s="213"/>
      <c r="F576" s="213"/>
      <c r="G576" s="213"/>
      <c r="H576" s="213"/>
      <c r="I576" s="213"/>
      <c r="J576" s="213"/>
      <c r="K576" s="692"/>
      <c r="L576" s="2"/>
      <c r="X576" s="2"/>
    </row>
    <row r="577" spans="1:35" ht="17.25" x14ac:dyDescent="0.15">
      <c r="A577" s="694" t="str">
        <f>$A$5</f>
        <v>平成29年度小郡市役所庁舎外25施設電力需給</v>
      </c>
      <c r="B577" s="694"/>
      <c r="C577" s="694"/>
      <c r="D577" s="694"/>
      <c r="E577" s="694"/>
      <c r="F577" s="694"/>
      <c r="G577" s="694"/>
      <c r="H577" s="694"/>
      <c r="I577" s="694"/>
      <c r="J577" s="694"/>
      <c r="K577" s="694"/>
      <c r="L577" s="2"/>
      <c r="M577" s="553" t="str">
        <f>$A$5</f>
        <v>平成29年度小郡市役所庁舎外25施設電力需給</v>
      </c>
      <c r="N577" s="553"/>
      <c r="O577" s="553"/>
      <c r="P577" s="553"/>
      <c r="Q577" s="553"/>
      <c r="R577" s="553"/>
      <c r="S577" s="553"/>
      <c r="T577" s="553"/>
      <c r="U577" s="553"/>
      <c r="V577" s="553"/>
      <c r="W577" s="553"/>
      <c r="X577" s="2"/>
      <c r="Y577" s="553" t="str">
        <f>$A$5</f>
        <v>平成29年度小郡市役所庁舎外25施設電力需給</v>
      </c>
      <c r="Z577" s="553"/>
      <c r="AA577" s="553"/>
      <c r="AB577" s="553"/>
      <c r="AC577" s="553"/>
      <c r="AD577" s="553"/>
      <c r="AE577" s="553"/>
      <c r="AF577" s="553"/>
      <c r="AG577" s="553"/>
      <c r="AH577" s="553"/>
      <c r="AI577" s="553"/>
    </row>
    <row r="578" spans="1:35" x14ac:dyDescent="0.15">
      <c r="A578" s="689" t="str">
        <f>$A$6</f>
        <v>（平成３０年１月～平成３０年１２月期間中の予定金額）</v>
      </c>
      <c r="B578" s="689"/>
      <c r="C578" s="689"/>
      <c r="D578" s="689"/>
      <c r="E578" s="689"/>
      <c r="F578" s="689"/>
      <c r="G578" s="689"/>
      <c r="H578" s="689"/>
      <c r="I578" s="689"/>
      <c r="J578" s="689"/>
      <c r="K578" s="689"/>
      <c r="L578" s="2"/>
      <c r="M578" s="555" t="str">
        <f>$A$6</f>
        <v>（平成３０年１月～平成３０年１２月期間中の予定金額）</v>
      </c>
      <c r="N578" s="555"/>
      <c r="O578" s="555"/>
      <c r="P578" s="555"/>
      <c r="Q578" s="555"/>
      <c r="R578" s="555"/>
      <c r="S578" s="555"/>
      <c r="T578" s="555"/>
      <c r="U578" s="555"/>
      <c r="V578" s="555"/>
      <c r="W578" s="555"/>
      <c r="X578" s="2"/>
      <c r="Y578" s="555" t="str">
        <f>$A$6</f>
        <v>（平成３０年１月～平成３０年１２月期間中の予定金額）</v>
      </c>
      <c r="Z578" s="555"/>
      <c r="AA578" s="555"/>
      <c r="AB578" s="555"/>
      <c r="AC578" s="555"/>
      <c r="AD578" s="555"/>
      <c r="AE578" s="555"/>
      <c r="AF578" s="555"/>
      <c r="AG578" s="555"/>
      <c r="AH578" s="555"/>
      <c r="AI578" s="555"/>
    </row>
    <row r="579" spans="1:35" ht="14.25" thickBot="1" x14ac:dyDescent="0.2">
      <c r="A579" s="252" t="s">
        <v>123</v>
      </c>
      <c r="B579" s="213"/>
      <c r="C579" s="213"/>
      <c r="D579" s="213"/>
      <c r="E579" s="213"/>
      <c r="F579" s="213"/>
      <c r="G579" s="213"/>
      <c r="H579" s="213"/>
      <c r="I579" s="213"/>
      <c r="J579" s="213"/>
      <c r="K579" s="211" t="s">
        <v>84</v>
      </c>
      <c r="L579" s="2"/>
      <c r="M579" s="209" t="s">
        <v>123</v>
      </c>
      <c r="W579" s="47" t="s">
        <v>70</v>
      </c>
      <c r="X579" s="2"/>
      <c r="Y579" s="209" t="s">
        <v>123</v>
      </c>
      <c r="AI579" s="47" t="s">
        <v>70</v>
      </c>
    </row>
    <row r="580" spans="1:35" ht="18" customHeight="1" thickBot="1" x14ac:dyDescent="0.2">
      <c r="A580" s="695" t="s">
        <v>33</v>
      </c>
      <c r="B580" s="683" t="s">
        <v>24</v>
      </c>
      <c r="C580" s="684"/>
      <c r="D580" s="684"/>
      <c r="E580" s="685"/>
      <c r="F580" s="686" t="s">
        <v>34</v>
      </c>
      <c r="G580" s="687"/>
      <c r="H580" s="687"/>
      <c r="I580" s="687"/>
      <c r="J580" s="688"/>
      <c r="K580" s="667" t="s">
        <v>35</v>
      </c>
      <c r="L580" s="2"/>
      <c r="M580" s="567" t="s">
        <v>33</v>
      </c>
      <c r="N580" s="570" t="s">
        <v>24</v>
      </c>
      <c r="O580" s="571"/>
      <c r="P580" s="571"/>
      <c r="Q580" s="572"/>
      <c r="R580" s="573" t="s">
        <v>34</v>
      </c>
      <c r="S580" s="574"/>
      <c r="T580" s="574"/>
      <c r="U580" s="574"/>
      <c r="V580" s="575"/>
      <c r="W580" s="544" t="s">
        <v>35</v>
      </c>
      <c r="X580" s="2"/>
      <c r="Y580" s="567" t="s">
        <v>33</v>
      </c>
      <c r="Z580" s="570" t="s">
        <v>24</v>
      </c>
      <c r="AA580" s="571"/>
      <c r="AB580" s="571"/>
      <c r="AC580" s="572"/>
      <c r="AD580" s="573" t="s">
        <v>34</v>
      </c>
      <c r="AE580" s="574"/>
      <c r="AF580" s="574"/>
      <c r="AG580" s="574"/>
      <c r="AH580" s="575"/>
      <c r="AI580" s="544" t="s">
        <v>35</v>
      </c>
    </row>
    <row r="581" spans="1:35" ht="13.5" customHeight="1" x14ac:dyDescent="0.15">
      <c r="A581" s="696"/>
      <c r="B581" s="669" t="s">
        <v>28</v>
      </c>
      <c r="C581" s="667" t="s">
        <v>29</v>
      </c>
      <c r="D581" s="669" t="s">
        <v>25</v>
      </c>
      <c r="E581" s="678" t="s">
        <v>31</v>
      </c>
      <c r="F581" s="679" t="s">
        <v>36</v>
      </c>
      <c r="G581" s="680"/>
      <c r="H581" s="216"/>
      <c r="I581" s="667" t="s">
        <v>37</v>
      </c>
      <c r="J581" s="669" t="s">
        <v>38</v>
      </c>
      <c r="K581" s="668"/>
      <c r="L581" s="2"/>
      <c r="M581" s="568"/>
      <c r="N581" s="546" t="s">
        <v>28</v>
      </c>
      <c r="O581" s="544" t="s">
        <v>29</v>
      </c>
      <c r="P581" s="546" t="s">
        <v>25</v>
      </c>
      <c r="Q581" s="582" t="s">
        <v>31</v>
      </c>
      <c r="R581" s="540" t="s">
        <v>36</v>
      </c>
      <c r="S581" s="541"/>
      <c r="T581" s="135"/>
      <c r="U581" s="544" t="s">
        <v>37</v>
      </c>
      <c r="V581" s="546" t="s">
        <v>38</v>
      </c>
      <c r="W581" s="545"/>
      <c r="X581" s="2"/>
      <c r="Y581" s="568"/>
      <c r="Z581" s="546" t="s">
        <v>28</v>
      </c>
      <c r="AA581" s="544" t="s">
        <v>29</v>
      </c>
      <c r="AB581" s="546" t="s">
        <v>25</v>
      </c>
      <c r="AC581" s="582" t="s">
        <v>31</v>
      </c>
      <c r="AD581" s="540" t="s">
        <v>36</v>
      </c>
      <c r="AE581" s="541"/>
      <c r="AF581" s="135"/>
      <c r="AG581" s="544" t="s">
        <v>37</v>
      </c>
      <c r="AH581" s="546" t="s">
        <v>38</v>
      </c>
      <c r="AI581" s="545"/>
    </row>
    <row r="582" spans="1:35" x14ac:dyDescent="0.15">
      <c r="A582" s="696"/>
      <c r="B582" s="669"/>
      <c r="C582" s="668"/>
      <c r="D582" s="669"/>
      <c r="E582" s="669"/>
      <c r="F582" s="681"/>
      <c r="G582" s="682"/>
      <c r="H582" s="217"/>
      <c r="I582" s="668"/>
      <c r="J582" s="669"/>
      <c r="K582" s="668"/>
      <c r="L582" s="2"/>
      <c r="M582" s="568"/>
      <c r="N582" s="546"/>
      <c r="O582" s="545"/>
      <c r="P582" s="546"/>
      <c r="Q582" s="546"/>
      <c r="R582" s="542"/>
      <c r="S582" s="543"/>
      <c r="T582" s="136"/>
      <c r="U582" s="545"/>
      <c r="V582" s="546"/>
      <c r="W582" s="545"/>
      <c r="X582" s="2"/>
      <c r="Y582" s="568"/>
      <c r="Z582" s="546"/>
      <c r="AA582" s="545"/>
      <c r="AB582" s="546"/>
      <c r="AC582" s="546"/>
      <c r="AD582" s="542"/>
      <c r="AE582" s="543"/>
      <c r="AF582" s="136"/>
      <c r="AG582" s="545"/>
      <c r="AH582" s="546"/>
      <c r="AI582" s="545"/>
    </row>
    <row r="583" spans="1:35" ht="23.25" customHeight="1" x14ac:dyDescent="0.15">
      <c r="A583" s="696"/>
      <c r="B583" s="218" t="s">
        <v>13</v>
      </c>
      <c r="C583" s="219" t="s">
        <v>30</v>
      </c>
      <c r="D583" s="218" t="s">
        <v>14</v>
      </c>
      <c r="E583" s="218" t="s">
        <v>40</v>
      </c>
      <c r="F583" s="665" t="s">
        <v>15</v>
      </c>
      <c r="G583" s="666"/>
      <c r="H583" s="220"/>
      <c r="I583" s="219" t="s">
        <v>30</v>
      </c>
      <c r="J583" s="218" t="s">
        <v>40</v>
      </c>
      <c r="K583" s="218" t="s">
        <v>40</v>
      </c>
      <c r="L583" s="2"/>
      <c r="M583" s="568"/>
      <c r="N583" s="137" t="s">
        <v>152</v>
      </c>
      <c r="O583" s="138" t="s">
        <v>30</v>
      </c>
      <c r="P583" s="137" t="s">
        <v>14</v>
      </c>
      <c r="Q583" s="137" t="s">
        <v>40</v>
      </c>
      <c r="R583" s="549" t="s">
        <v>15</v>
      </c>
      <c r="S583" s="550"/>
      <c r="T583" s="139"/>
      <c r="U583" s="138" t="s">
        <v>30</v>
      </c>
      <c r="V583" s="137" t="s">
        <v>40</v>
      </c>
      <c r="W583" s="137" t="s">
        <v>40</v>
      </c>
      <c r="X583" s="2"/>
      <c r="Y583" s="568"/>
      <c r="Z583" s="137" t="s">
        <v>152</v>
      </c>
      <c r="AA583" s="138" t="s">
        <v>30</v>
      </c>
      <c r="AB583" s="137" t="s">
        <v>14</v>
      </c>
      <c r="AC583" s="137" t="s">
        <v>40</v>
      </c>
      <c r="AD583" s="549" t="s">
        <v>15</v>
      </c>
      <c r="AE583" s="550"/>
      <c r="AF583" s="139"/>
      <c r="AG583" s="138" t="s">
        <v>30</v>
      </c>
      <c r="AH583" s="137" t="s">
        <v>40</v>
      </c>
      <c r="AI583" s="137" t="s">
        <v>40</v>
      </c>
    </row>
    <row r="584" spans="1:35" ht="15.75" customHeight="1" thickBot="1" x14ac:dyDescent="0.2">
      <c r="A584" s="697"/>
      <c r="B584" s="221" t="s">
        <v>16</v>
      </c>
      <c r="C584" s="221" t="s">
        <v>17</v>
      </c>
      <c r="D584" s="221" t="s">
        <v>18</v>
      </c>
      <c r="E584" s="221" t="s">
        <v>19</v>
      </c>
      <c r="F584" s="222"/>
      <c r="G584" s="223" t="s">
        <v>20</v>
      </c>
      <c r="H584" s="223"/>
      <c r="I584" s="221" t="s">
        <v>21</v>
      </c>
      <c r="J584" s="221" t="s">
        <v>22</v>
      </c>
      <c r="K584" s="223" t="s">
        <v>23</v>
      </c>
      <c r="L584" s="2"/>
      <c r="M584" s="569"/>
      <c r="N584" s="122" t="s">
        <v>16</v>
      </c>
      <c r="O584" s="122" t="s">
        <v>17</v>
      </c>
      <c r="P584" s="122" t="s">
        <v>18</v>
      </c>
      <c r="Q584" s="122" t="s">
        <v>19</v>
      </c>
      <c r="R584" s="140"/>
      <c r="S584" s="141" t="s">
        <v>20</v>
      </c>
      <c r="T584" s="141"/>
      <c r="U584" s="122" t="s">
        <v>21</v>
      </c>
      <c r="V584" s="122" t="s">
        <v>22</v>
      </c>
      <c r="W584" s="141" t="s">
        <v>23</v>
      </c>
      <c r="X584" s="2"/>
      <c r="Y584" s="569"/>
      <c r="Z584" s="122" t="s">
        <v>16</v>
      </c>
      <c r="AA584" s="122" t="s">
        <v>17</v>
      </c>
      <c r="AB584" s="122" t="s">
        <v>18</v>
      </c>
      <c r="AC584" s="122" t="s">
        <v>19</v>
      </c>
      <c r="AD584" s="140"/>
      <c r="AE584" s="141" t="s">
        <v>20</v>
      </c>
      <c r="AF584" s="141"/>
      <c r="AG584" s="122" t="s">
        <v>21</v>
      </c>
      <c r="AH584" s="122" t="s">
        <v>22</v>
      </c>
      <c r="AI584" s="141" t="s">
        <v>23</v>
      </c>
    </row>
    <row r="585" spans="1:35" ht="30" customHeight="1" x14ac:dyDescent="0.15">
      <c r="A585" s="224" t="s">
        <v>83</v>
      </c>
      <c r="B585" s="225">
        <v>79</v>
      </c>
      <c r="C585" s="226">
        <v>1296</v>
      </c>
      <c r="D585" s="225">
        <v>100</v>
      </c>
      <c r="E585" s="228">
        <f t="shared" ref="E585:E596" si="333">ROUNDDOWN(B585*C585*((185-D585)/100),2)</f>
        <v>87026.4</v>
      </c>
      <c r="F585" s="229" t="s">
        <v>85</v>
      </c>
      <c r="G585" s="230">
        <v>9985</v>
      </c>
      <c r="H585" s="230"/>
      <c r="I585" s="226">
        <v>16.87</v>
      </c>
      <c r="J585" s="228">
        <f t="shared" ref="J585:J596" si="334">ROUNDDOWN(G585*I585,2)</f>
        <v>168446.95</v>
      </c>
      <c r="K585" s="231">
        <f t="shared" ref="K585:K596" si="335">ROUNDDOWN(J585+E585,2)</f>
        <v>255473.35</v>
      </c>
      <c r="L585" s="2"/>
      <c r="M585" s="142" t="s">
        <v>83</v>
      </c>
      <c r="N585" s="143">
        <v>79</v>
      </c>
      <c r="O585" s="123">
        <v>2008.8</v>
      </c>
      <c r="P585" s="163">
        <v>100</v>
      </c>
      <c r="Q585" s="98">
        <f t="shared" ref="Q585:Q596" si="336">ROUNDDOWN(N585*O585*((185-P585)/100),2)</f>
        <v>134890.92000000001</v>
      </c>
      <c r="R585" s="145" t="s">
        <v>85</v>
      </c>
      <c r="S585" s="146">
        <v>9985</v>
      </c>
      <c r="T585" s="146"/>
      <c r="U585" s="124">
        <v>11.87</v>
      </c>
      <c r="V585" s="98">
        <f t="shared" ref="V585:V596" si="337">ROUNDDOWN(S585*U585,2)</f>
        <v>118521.95</v>
      </c>
      <c r="W585" s="147">
        <f t="shared" ref="W585:W596" si="338">ROUNDDOWN(V585+Q585,2)</f>
        <v>253412.87</v>
      </c>
      <c r="X585" s="2"/>
      <c r="Y585" s="142" t="s">
        <v>83</v>
      </c>
      <c r="Z585" s="143">
        <v>79</v>
      </c>
      <c r="AA585" s="123">
        <v>2008.8</v>
      </c>
      <c r="AB585" s="163">
        <v>100</v>
      </c>
      <c r="AC585" s="98">
        <f t="shared" ref="AC585:AC596" si="339">ROUNDDOWN(Z585*AA585*((185-AB585)/100),2)</f>
        <v>134890.92000000001</v>
      </c>
      <c r="AD585" s="145" t="s">
        <v>85</v>
      </c>
      <c r="AE585" s="146">
        <v>9985</v>
      </c>
      <c r="AF585" s="146"/>
      <c r="AG585" s="124">
        <v>11.87</v>
      </c>
      <c r="AH585" s="98">
        <f t="shared" ref="AH585:AH596" si="340">ROUNDDOWN(AE585*AG585,2)</f>
        <v>118521.95</v>
      </c>
      <c r="AI585" s="147">
        <f t="shared" ref="AI585:AI596" si="341">ROUNDDOWN(AH585+AC585,2)</f>
        <v>253412.87</v>
      </c>
    </row>
    <row r="586" spans="1:35" ht="30" customHeight="1" x14ac:dyDescent="0.15">
      <c r="A586" s="232" t="s">
        <v>72</v>
      </c>
      <c r="B586" s="233">
        <f t="shared" ref="B586:B596" si="342">B585</f>
        <v>79</v>
      </c>
      <c r="C586" s="234">
        <f t="shared" ref="C586:C596" si="343">C585</f>
        <v>1296</v>
      </c>
      <c r="D586" s="235">
        <f t="shared" ref="D586:D596" si="344">D585</f>
        <v>100</v>
      </c>
      <c r="E586" s="228">
        <f t="shared" si="333"/>
        <v>87026.4</v>
      </c>
      <c r="F586" s="229" t="s">
        <v>112</v>
      </c>
      <c r="G586" s="230">
        <v>9738</v>
      </c>
      <c r="H586" s="230"/>
      <c r="I586" s="234">
        <f>I585</f>
        <v>16.87</v>
      </c>
      <c r="J586" s="228">
        <f t="shared" si="334"/>
        <v>164280.06</v>
      </c>
      <c r="K586" s="231">
        <f t="shared" si="335"/>
        <v>251306.46</v>
      </c>
      <c r="L586" s="2"/>
      <c r="M586" s="148" t="s">
        <v>72</v>
      </c>
      <c r="N586" s="149">
        <f t="shared" ref="N586:N596" si="345">N585</f>
        <v>79</v>
      </c>
      <c r="O586" s="125">
        <f t="shared" ref="O586:O596" si="346">O585</f>
        <v>2008.8</v>
      </c>
      <c r="P586" s="106">
        <f t="shared" ref="P586:P596" si="347">P585</f>
        <v>100</v>
      </c>
      <c r="Q586" s="98">
        <f t="shared" si="336"/>
        <v>134890.92000000001</v>
      </c>
      <c r="R586" s="145" t="s">
        <v>112</v>
      </c>
      <c r="S586" s="146">
        <v>9738</v>
      </c>
      <c r="T586" s="146"/>
      <c r="U586" s="125">
        <f>U585</f>
        <v>11.87</v>
      </c>
      <c r="V586" s="98">
        <f t="shared" si="337"/>
        <v>115590.06</v>
      </c>
      <c r="W586" s="147">
        <f t="shared" si="338"/>
        <v>250480.98</v>
      </c>
      <c r="X586" s="2"/>
      <c r="Y586" s="148" t="s">
        <v>72</v>
      </c>
      <c r="Z586" s="149">
        <f t="shared" ref="Z586:Z596" si="348">Z585</f>
        <v>79</v>
      </c>
      <c r="AA586" s="125">
        <f t="shared" ref="AA586:AA596" si="349">AA585</f>
        <v>2008.8</v>
      </c>
      <c r="AB586" s="106">
        <f t="shared" ref="AB586:AB596" si="350">AB585</f>
        <v>100</v>
      </c>
      <c r="AC586" s="98">
        <f t="shared" si="339"/>
        <v>134890.92000000001</v>
      </c>
      <c r="AD586" s="145" t="s">
        <v>112</v>
      </c>
      <c r="AE586" s="146">
        <v>9738</v>
      </c>
      <c r="AF586" s="146"/>
      <c r="AG586" s="125">
        <f>AG585</f>
        <v>11.87</v>
      </c>
      <c r="AH586" s="98">
        <f t="shared" si="340"/>
        <v>115590.06</v>
      </c>
      <c r="AI586" s="147">
        <f t="shared" si="341"/>
        <v>250480.98</v>
      </c>
    </row>
    <row r="587" spans="1:35" ht="30" customHeight="1" x14ac:dyDescent="0.15">
      <c r="A587" s="232" t="s">
        <v>73</v>
      </c>
      <c r="B587" s="233">
        <f t="shared" si="342"/>
        <v>79</v>
      </c>
      <c r="C587" s="234">
        <f t="shared" si="343"/>
        <v>1296</v>
      </c>
      <c r="D587" s="235">
        <f t="shared" si="344"/>
        <v>100</v>
      </c>
      <c r="E587" s="228">
        <f t="shared" si="333"/>
        <v>87026.4</v>
      </c>
      <c r="F587" s="229" t="s">
        <v>9</v>
      </c>
      <c r="G587" s="230">
        <v>7972</v>
      </c>
      <c r="H587" s="230"/>
      <c r="I587" s="234">
        <f>I586</f>
        <v>16.87</v>
      </c>
      <c r="J587" s="228">
        <f t="shared" si="334"/>
        <v>134487.64000000001</v>
      </c>
      <c r="K587" s="231">
        <f t="shared" si="335"/>
        <v>221514.04</v>
      </c>
      <c r="L587" s="2"/>
      <c r="M587" s="148" t="s">
        <v>73</v>
      </c>
      <c r="N587" s="149">
        <f t="shared" si="345"/>
        <v>79</v>
      </c>
      <c r="O587" s="125">
        <f t="shared" si="346"/>
        <v>2008.8</v>
      </c>
      <c r="P587" s="106">
        <f t="shared" si="347"/>
        <v>100</v>
      </c>
      <c r="Q587" s="98">
        <f t="shared" si="336"/>
        <v>134890.92000000001</v>
      </c>
      <c r="R587" s="145" t="s">
        <v>9</v>
      </c>
      <c r="S587" s="146">
        <v>7972</v>
      </c>
      <c r="T587" s="146"/>
      <c r="U587" s="125">
        <f>U586</f>
        <v>11.87</v>
      </c>
      <c r="V587" s="98">
        <f t="shared" si="337"/>
        <v>94627.64</v>
      </c>
      <c r="W587" s="147">
        <f t="shared" si="338"/>
        <v>229518.56</v>
      </c>
      <c r="X587" s="2"/>
      <c r="Y587" s="148" t="s">
        <v>73</v>
      </c>
      <c r="Z587" s="149">
        <f t="shared" si="348"/>
        <v>79</v>
      </c>
      <c r="AA587" s="125">
        <f t="shared" si="349"/>
        <v>2008.8</v>
      </c>
      <c r="AB587" s="106">
        <f t="shared" si="350"/>
        <v>100</v>
      </c>
      <c r="AC587" s="98">
        <f t="shared" si="339"/>
        <v>134890.92000000001</v>
      </c>
      <c r="AD587" s="145" t="s">
        <v>9</v>
      </c>
      <c r="AE587" s="146">
        <v>7972</v>
      </c>
      <c r="AF587" s="146"/>
      <c r="AG587" s="125">
        <f>AG586</f>
        <v>11.87</v>
      </c>
      <c r="AH587" s="98">
        <f t="shared" si="340"/>
        <v>94627.64</v>
      </c>
      <c r="AI587" s="147">
        <f t="shared" si="341"/>
        <v>229518.56</v>
      </c>
    </row>
    <row r="588" spans="1:35" ht="30" customHeight="1" x14ac:dyDescent="0.15">
      <c r="A588" s="232" t="s">
        <v>74</v>
      </c>
      <c r="B588" s="233">
        <f t="shared" si="342"/>
        <v>79</v>
      </c>
      <c r="C588" s="234">
        <f t="shared" si="343"/>
        <v>1296</v>
      </c>
      <c r="D588" s="235">
        <f t="shared" si="344"/>
        <v>100</v>
      </c>
      <c r="E588" s="228">
        <f t="shared" si="333"/>
        <v>87026.4</v>
      </c>
      <c r="F588" s="229" t="s">
        <v>9</v>
      </c>
      <c r="G588" s="230">
        <v>3288</v>
      </c>
      <c r="H588" s="230"/>
      <c r="I588" s="234">
        <f>I587</f>
        <v>16.87</v>
      </c>
      <c r="J588" s="228">
        <f t="shared" si="334"/>
        <v>55468.56</v>
      </c>
      <c r="K588" s="231">
        <f t="shared" si="335"/>
        <v>142494.96</v>
      </c>
      <c r="L588" s="2"/>
      <c r="M588" s="148" t="s">
        <v>74</v>
      </c>
      <c r="N588" s="149">
        <f t="shared" si="345"/>
        <v>79</v>
      </c>
      <c r="O588" s="125">
        <f t="shared" si="346"/>
        <v>2008.8</v>
      </c>
      <c r="P588" s="106">
        <f t="shared" si="347"/>
        <v>100</v>
      </c>
      <c r="Q588" s="98">
        <f t="shared" si="336"/>
        <v>134890.92000000001</v>
      </c>
      <c r="R588" s="145" t="s">
        <v>9</v>
      </c>
      <c r="S588" s="146">
        <v>3288</v>
      </c>
      <c r="T588" s="146"/>
      <c r="U588" s="125">
        <f>U587</f>
        <v>11.87</v>
      </c>
      <c r="V588" s="98">
        <f t="shared" si="337"/>
        <v>39028.559999999998</v>
      </c>
      <c r="W588" s="147">
        <f t="shared" si="338"/>
        <v>173919.48</v>
      </c>
      <c r="X588" s="2"/>
      <c r="Y588" s="148" t="s">
        <v>74</v>
      </c>
      <c r="Z588" s="149">
        <f t="shared" si="348"/>
        <v>79</v>
      </c>
      <c r="AA588" s="125">
        <f t="shared" si="349"/>
        <v>2008.8</v>
      </c>
      <c r="AB588" s="106">
        <f t="shared" si="350"/>
        <v>100</v>
      </c>
      <c r="AC588" s="98">
        <f t="shared" si="339"/>
        <v>134890.92000000001</v>
      </c>
      <c r="AD588" s="145" t="s">
        <v>9</v>
      </c>
      <c r="AE588" s="146">
        <v>3288</v>
      </c>
      <c r="AF588" s="146"/>
      <c r="AG588" s="125">
        <f>AG587</f>
        <v>11.87</v>
      </c>
      <c r="AH588" s="98">
        <f t="shared" si="340"/>
        <v>39028.559999999998</v>
      </c>
      <c r="AI588" s="147">
        <f t="shared" si="341"/>
        <v>173919.48</v>
      </c>
    </row>
    <row r="589" spans="1:35" ht="30" customHeight="1" x14ac:dyDescent="0.15">
      <c r="A589" s="232" t="s">
        <v>75</v>
      </c>
      <c r="B589" s="233">
        <f t="shared" si="342"/>
        <v>79</v>
      </c>
      <c r="C589" s="234">
        <f t="shared" si="343"/>
        <v>1296</v>
      </c>
      <c r="D589" s="235">
        <f t="shared" si="344"/>
        <v>100</v>
      </c>
      <c r="E589" s="228">
        <f t="shared" si="333"/>
        <v>87026.4</v>
      </c>
      <c r="F589" s="229" t="s">
        <v>9</v>
      </c>
      <c r="G589" s="230">
        <v>5616</v>
      </c>
      <c r="H589" s="230"/>
      <c r="I589" s="234">
        <f>I588</f>
        <v>16.87</v>
      </c>
      <c r="J589" s="228">
        <f t="shared" si="334"/>
        <v>94741.92</v>
      </c>
      <c r="K589" s="231">
        <f t="shared" si="335"/>
        <v>181768.32000000001</v>
      </c>
      <c r="L589" s="2"/>
      <c r="M589" s="148" t="s">
        <v>75</v>
      </c>
      <c r="N589" s="149">
        <f t="shared" si="345"/>
        <v>79</v>
      </c>
      <c r="O589" s="125">
        <f t="shared" si="346"/>
        <v>2008.8</v>
      </c>
      <c r="P589" s="106">
        <f t="shared" si="347"/>
        <v>100</v>
      </c>
      <c r="Q589" s="98">
        <f t="shared" si="336"/>
        <v>134890.92000000001</v>
      </c>
      <c r="R589" s="145" t="s">
        <v>9</v>
      </c>
      <c r="S589" s="146">
        <v>5616</v>
      </c>
      <c r="T589" s="146"/>
      <c r="U589" s="125">
        <f>U588</f>
        <v>11.87</v>
      </c>
      <c r="V589" s="98">
        <f t="shared" si="337"/>
        <v>66661.919999999998</v>
      </c>
      <c r="W589" s="147">
        <f t="shared" si="338"/>
        <v>201552.84</v>
      </c>
      <c r="X589" s="2"/>
      <c r="Y589" s="148" t="s">
        <v>75</v>
      </c>
      <c r="Z589" s="149">
        <f t="shared" si="348"/>
        <v>79</v>
      </c>
      <c r="AA589" s="125">
        <f t="shared" si="349"/>
        <v>2008.8</v>
      </c>
      <c r="AB589" s="106">
        <f t="shared" si="350"/>
        <v>100</v>
      </c>
      <c r="AC589" s="98">
        <f t="shared" si="339"/>
        <v>134890.92000000001</v>
      </c>
      <c r="AD589" s="145" t="s">
        <v>9</v>
      </c>
      <c r="AE589" s="146">
        <v>5616</v>
      </c>
      <c r="AF589" s="146"/>
      <c r="AG589" s="125">
        <f>AG588</f>
        <v>11.87</v>
      </c>
      <c r="AH589" s="98">
        <f t="shared" si="340"/>
        <v>66661.919999999998</v>
      </c>
      <c r="AI589" s="147">
        <f t="shared" si="341"/>
        <v>201552.84</v>
      </c>
    </row>
    <row r="590" spans="1:35" ht="30" customHeight="1" x14ac:dyDescent="0.15">
      <c r="A590" s="232" t="s">
        <v>76</v>
      </c>
      <c r="B590" s="233">
        <f t="shared" si="342"/>
        <v>79</v>
      </c>
      <c r="C590" s="234">
        <f t="shared" si="343"/>
        <v>1296</v>
      </c>
      <c r="D590" s="235">
        <f t="shared" si="344"/>
        <v>100</v>
      </c>
      <c r="E590" s="228">
        <f t="shared" si="333"/>
        <v>87026.4</v>
      </c>
      <c r="F590" s="229" t="s">
        <v>9</v>
      </c>
      <c r="G590" s="230">
        <v>8700</v>
      </c>
      <c r="H590" s="230"/>
      <c r="I590" s="234">
        <f>I589</f>
        <v>16.87</v>
      </c>
      <c r="J590" s="228">
        <f t="shared" si="334"/>
        <v>146769</v>
      </c>
      <c r="K590" s="231">
        <f t="shared" si="335"/>
        <v>233795.4</v>
      </c>
      <c r="L590" s="2"/>
      <c r="M590" s="148" t="s">
        <v>76</v>
      </c>
      <c r="N590" s="149">
        <f t="shared" si="345"/>
        <v>79</v>
      </c>
      <c r="O590" s="125">
        <f t="shared" si="346"/>
        <v>2008.8</v>
      </c>
      <c r="P590" s="106">
        <f t="shared" si="347"/>
        <v>100</v>
      </c>
      <c r="Q590" s="98">
        <f t="shared" si="336"/>
        <v>134890.92000000001</v>
      </c>
      <c r="R590" s="145" t="s">
        <v>9</v>
      </c>
      <c r="S590" s="146">
        <v>8700</v>
      </c>
      <c r="T590" s="146"/>
      <c r="U590" s="125">
        <f>U589</f>
        <v>11.87</v>
      </c>
      <c r="V590" s="98">
        <f t="shared" si="337"/>
        <v>103269</v>
      </c>
      <c r="W590" s="147">
        <f t="shared" si="338"/>
        <v>238159.92</v>
      </c>
      <c r="X590" s="2"/>
      <c r="Y590" s="148" t="s">
        <v>76</v>
      </c>
      <c r="Z590" s="149">
        <f t="shared" si="348"/>
        <v>79</v>
      </c>
      <c r="AA590" s="125">
        <f t="shared" si="349"/>
        <v>2008.8</v>
      </c>
      <c r="AB590" s="106">
        <f t="shared" si="350"/>
        <v>100</v>
      </c>
      <c r="AC590" s="98">
        <f t="shared" si="339"/>
        <v>134890.92000000001</v>
      </c>
      <c r="AD590" s="145" t="s">
        <v>9</v>
      </c>
      <c r="AE590" s="146">
        <v>8700</v>
      </c>
      <c r="AF590" s="146"/>
      <c r="AG590" s="125">
        <f>AG589</f>
        <v>11.87</v>
      </c>
      <c r="AH590" s="98">
        <f t="shared" si="340"/>
        <v>103269</v>
      </c>
      <c r="AI590" s="147">
        <f t="shared" si="341"/>
        <v>238159.92</v>
      </c>
    </row>
    <row r="591" spans="1:35" ht="30" customHeight="1" x14ac:dyDescent="0.15">
      <c r="A591" s="232" t="s">
        <v>77</v>
      </c>
      <c r="B591" s="233">
        <f t="shared" si="342"/>
        <v>79</v>
      </c>
      <c r="C591" s="234">
        <f t="shared" si="343"/>
        <v>1296</v>
      </c>
      <c r="D591" s="235">
        <f t="shared" si="344"/>
        <v>100</v>
      </c>
      <c r="E591" s="228">
        <f t="shared" si="333"/>
        <v>87026.4</v>
      </c>
      <c r="F591" s="229" t="s">
        <v>71</v>
      </c>
      <c r="G591" s="230">
        <v>13212</v>
      </c>
      <c r="H591" s="230"/>
      <c r="I591" s="226">
        <v>18.29</v>
      </c>
      <c r="J591" s="228">
        <f t="shared" si="334"/>
        <v>241647.48</v>
      </c>
      <c r="K591" s="231">
        <f t="shared" si="335"/>
        <v>328673.88</v>
      </c>
      <c r="L591" s="2"/>
      <c r="M591" s="148" t="s">
        <v>77</v>
      </c>
      <c r="N591" s="149">
        <f t="shared" si="345"/>
        <v>79</v>
      </c>
      <c r="O591" s="125">
        <f t="shared" si="346"/>
        <v>2008.8</v>
      </c>
      <c r="P591" s="106">
        <f t="shared" si="347"/>
        <v>100</v>
      </c>
      <c r="Q591" s="98">
        <f t="shared" si="336"/>
        <v>134890.92000000001</v>
      </c>
      <c r="R591" s="145" t="s">
        <v>71</v>
      </c>
      <c r="S591" s="146">
        <v>13212</v>
      </c>
      <c r="T591" s="146"/>
      <c r="U591" s="124">
        <v>12.78</v>
      </c>
      <c r="V591" s="98">
        <f t="shared" si="337"/>
        <v>168849.36</v>
      </c>
      <c r="W591" s="147">
        <f t="shared" si="338"/>
        <v>303740.28000000003</v>
      </c>
      <c r="X591" s="2"/>
      <c r="Y591" s="148" t="s">
        <v>77</v>
      </c>
      <c r="Z591" s="149">
        <f t="shared" si="348"/>
        <v>79</v>
      </c>
      <c r="AA591" s="125">
        <f t="shared" si="349"/>
        <v>2008.8</v>
      </c>
      <c r="AB591" s="106">
        <f t="shared" si="350"/>
        <v>100</v>
      </c>
      <c r="AC591" s="98">
        <f t="shared" si="339"/>
        <v>134890.92000000001</v>
      </c>
      <c r="AD591" s="145" t="s">
        <v>71</v>
      </c>
      <c r="AE591" s="146">
        <v>13212</v>
      </c>
      <c r="AF591" s="146"/>
      <c r="AG591" s="124">
        <v>12.78</v>
      </c>
      <c r="AH591" s="98">
        <f t="shared" si="340"/>
        <v>168849.36</v>
      </c>
      <c r="AI591" s="147">
        <f t="shared" si="341"/>
        <v>303740.28000000003</v>
      </c>
    </row>
    <row r="592" spans="1:35" ht="30" customHeight="1" x14ac:dyDescent="0.15">
      <c r="A592" s="232" t="s">
        <v>78</v>
      </c>
      <c r="B592" s="233">
        <f t="shared" si="342"/>
        <v>79</v>
      </c>
      <c r="C592" s="234">
        <f t="shared" si="343"/>
        <v>1296</v>
      </c>
      <c r="D592" s="235">
        <f t="shared" si="344"/>
        <v>100</v>
      </c>
      <c r="E592" s="228">
        <f t="shared" si="333"/>
        <v>87026.4</v>
      </c>
      <c r="F592" s="229" t="s">
        <v>71</v>
      </c>
      <c r="G592" s="230">
        <v>11736</v>
      </c>
      <c r="H592" s="230"/>
      <c r="I592" s="234">
        <f>I591</f>
        <v>18.29</v>
      </c>
      <c r="J592" s="228">
        <f t="shared" si="334"/>
        <v>214651.44</v>
      </c>
      <c r="K592" s="231">
        <f t="shared" si="335"/>
        <v>301677.84000000003</v>
      </c>
      <c r="L592" s="2"/>
      <c r="M592" s="148" t="s">
        <v>78</v>
      </c>
      <c r="N592" s="149">
        <f t="shared" si="345"/>
        <v>79</v>
      </c>
      <c r="O592" s="125">
        <f t="shared" si="346"/>
        <v>2008.8</v>
      </c>
      <c r="P592" s="106">
        <f t="shared" si="347"/>
        <v>100</v>
      </c>
      <c r="Q592" s="98">
        <f t="shared" si="336"/>
        <v>134890.92000000001</v>
      </c>
      <c r="R592" s="145" t="s">
        <v>71</v>
      </c>
      <c r="S592" s="146">
        <v>11736</v>
      </c>
      <c r="T592" s="146"/>
      <c r="U592" s="125">
        <f>U591</f>
        <v>12.78</v>
      </c>
      <c r="V592" s="98">
        <f t="shared" si="337"/>
        <v>149986.07999999999</v>
      </c>
      <c r="W592" s="147">
        <f t="shared" si="338"/>
        <v>284877</v>
      </c>
      <c r="X592" s="2"/>
      <c r="Y592" s="148" t="s">
        <v>78</v>
      </c>
      <c r="Z592" s="149">
        <f t="shared" si="348"/>
        <v>79</v>
      </c>
      <c r="AA592" s="125">
        <f t="shared" si="349"/>
        <v>2008.8</v>
      </c>
      <c r="AB592" s="106">
        <f t="shared" si="350"/>
        <v>100</v>
      </c>
      <c r="AC592" s="98">
        <f t="shared" si="339"/>
        <v>134890.92000000001</v>
      </c>
      <c r="AD592" s="145" t="s">
        <v>71</v>
      </c>
      <c r="AE592" s="146">
        <v>11736</v>
      </c>
      <c r="AF592" s="146"/>
      <c r="AG592" s="125">
        <f>AG591</f>
        <v>12.78</v>
      </c>
      <c r="AH592" s="98">
        <f t="shared" si="340"/>
        <v>149986.07999999999</v>
      </c>
      <c r="AI592" s="147">
        <f t="shared" si="341"/>
        <v>284877</v>
      </c>
    </row>
    <row r="593" spans="1:35" ht="30" customHeight="1" x14ac:dyDescent="0.15">
      <c r="A593" s="232" t="s">
        <v>79</v>
      </c>
      <c r="B593" s="233">
        <f t="shared" si="342"/>
        <v>79</v>
      </c>
      <c r="C593" s="234">
        <f t="shared" si="343"/>
        <v>1296</v>
      </c>
      <c r="D593" s="235">
        <f t="shared" si="344"/>
        <v>100</v>
      </c>
      <c r="E593" s="228">
        <f t="shared" si="333"/>
        <v>87026.4</v>
      </c>
      <c r="F593" s="229" t="s">
        <v>71</v>
      </c>
      <c r="G593" s="230">
        <f>7195+1799</f>
        <v>8994</v>
      </c>
      <c r="H593" s="230"/>
      <c r="I593" s="234">
        <f>I592</f>
        <v>18.29</v>
      </c>
      <c r="J593" s="228">
        <f t="shared" si="334"/>
        <v>164500.26</v>
      </c>
      <c r="K593" s="231">
        <f t="shared" si="335"/>
        <v>251526.66</v>
      </c>
      <c r="L593" s="2"/>
      <c r="M593" s="148" t="s">
        <v>79</v>
      </c>
      <c r="N593" s="149">
        <f t="shared" si="345"/>
        <v>79</v>
      </c>
      <c r="O593" s="125">
        <f t="shared" si="346"/>
        <v>2008.8</v>
      </c>
      <c r="P593" s="106">
        <f t="shared" si="347"/>
        <v>100</v>
      </c>
      <c r="Q593" s="98">
        <f t="shared" si="336"/>
        <v>134890.92000000001</v>
      </c>
      <c r="R593" s="145" t="s">
        <v>71</v>
      </c>
      <c r="S593" s="146">
        <f>7195+1799</f>
        <v>8994</v>
      </c>
      <c r="T593" s="146"/>
      <c r="U593" s="125">
        <f>U592</f>
        <v>12.78</v>
      </c>
      <c r="V593" s="98">
        <f t="shared" si="337"/>
        <v>114943.32</v>
      </c>
      <c r="W593" s="147">
        <f t="shared" si="338"/>
        <v>249834.23999999999</v>
      </c>
      <c r="X593" s="2"/>
      <c r="Y593" s="148" t="s">
        <v>79</v>
      </c>
      <c r="Z593" s="149">
        <f t="shared" si="348"/>
        <v>79</v>
      </c>
      <c r="AA593" s="125">
        <f t="shared" si="349"/>
        <v>2008.8</v>
      </c>
      <c r="AB593" s="106">
        <f t="shared" si="350"/>
        <v>100</v>
      </c>
      <c r="AC593" s="98">
        <f t="shared" si="339"/>
        <v>134890.92000000001</v>
      </c>
      <c r="AD593" s="145" t="s">
        <v>71</v>
      </c>
      <c r="AE593" s="146">
        <f>7195+1799</f>
        <v>8994</v>
      </c>
      <c r="AF593" s="146"/>
      <c r="AG593" s="125">
        <f>AG592</f>
        <v>12.78</v>
      </c>
      <c r="AH593" s="98">
        <f t="shared" si="340"/>
        <v>114943.32</v>
      </c>
      <c r="AI593" s="147">
        <f t="shared" si="341"/>
        <v>249834.23999999999</v>
      </c>
    </row>
    <row r="594" spans="1:35" ht="30" customHeight="1" x14ac:dyDescent="0.15">
      <c r="A594" s="232" t="s">
        <v>80</v>
      </c>
      <c r="B594" s="233">
        <f t="shared" si="342"/>
        <v>79</v>
      </c>
      <c r="C594" s="234">
        <f t="shared" si="343"/>
        <v>1296</v>
      </c>
      <c r="D594" s="235">
        <f t="shared" si="344"/>
        <v>100</v>
      </c>
      <c r="E594" s="228">
        <f t="shared" si="333"/>
        <v>87026.4</v>
      </c>
      <c r="F594" s="229" t="s">
        <v>9</v>
      </c>
      <c r="G594" s="230">
        <v>4788</v>
      </c>
      <c r="H594" s="230"/>
      <c r="I594" s="234">
        <f>I585</f>
        <v>16.87</v>
      </c>
      <c r="J594" s="228">
        <f t="shared" si="334"/>
        <v>80773.56</v>
      </c>
      <c r="K594" s="231">
        <f t="shared" si="335"/>
        <v>167799.96</v>
      </c>
      <c r="L594" s="2"/>
      <c r="M594" s="148" t="s">
        <v>80</v>
      </c>
      <c r="N594" s="149">
        <f t="shared" si="345"/>
        <v>79</v>
      </c>
      <c r="O594" s="125">
        <f t="shared" si="346"/>
        <v>2008.8</v>
      </c>
      <c r="P594" s="106">
        <f t="shared" si="347"/>
        <v>100</v>
      </c>
      <c r="Q594" s="98">
        <f t="shared" si="336"/>
        <v>134890.92000000001</v>
      </c>
      <c r="R594" s="145" t="s">
        <v>9</v>
      </c>
      <c r="S594" s="146">
        <v>4788</v>
      </c>
      <c r="T594" s="146"/>
      <c r="U594" s="125">
        <f>U585</f>
        <v>11.87</v>
      </c>
      <c r="V594" s="98">
        <f t="shared" si="337"/>
        <v>56833.56</v>
      </c>
      <c r="W594" s="147">
        <f t="shared" si="338"/>
        <v>191724.48</v>
      </c>
      <c r="X594" s="2"/>
      <c r="Y594" s="148" t="s">
        <v>80</v>
      </c>
      <c r="Z594" s="149">
        <f t="shared" si="348"/>
        <v>79</v>
      </c>
      <c r="AA594" s="125">
        <f t="shared" si="349"/>
        <v>2008.8</v>
      </c>
      <c r="AB594" s="106">
        <f t="shared" si="350"/>
        <v>100</v>
      </c>
      <c r="AC594" s="98">
        <f t="shared" si="339"/>
        <v>134890.92000000001</v>
      </c>
      <c r="AD594" s="145" t="s">
        <v>9</v>
      </c>
      <c r="AE594" s="146">
        <v>4788</v>
      </c>
      <c r="AF594" s="146"/>
      <c r="AG594" s="125">
        <f>AG585</f>
        <v>11.87</v>
      </c>
      <c r="AH594" s="98">
        <f t="shared" si="340"/>
        <v>56833.56</v>
      </c>
      <c r="AI594" s="147">
        <f t="shared" si="341"/>
        <v>191724.48</v>
      </c>
    </row>
    <row r="595" spans="1:35" ht="30" customHeight="1" x14ac:dyDescent="0.15">
      <c r="A595" s="232" t="s">
        <v>81</v>
      </c>
      <c r="B595" s="233">
        <f t="shared" si="342"/>
        <v>79</v>
      </c>
      <c r="C595" s="234">
        <f t="shared" si="343"/>
        <v>1296</v>
      </c>
      <c r="D595" s="235">
        <f t="shared" si="344"/>
        <v>100</v>
      </c>
      <c r="E595" s="228">
        <f t="shared" si="333"/>
        <v>87026.4</v>
      </c>
      <c r="F595" s="229" t="s">
        <v>9</v>
      </c>
      <c r="G595" s="230">
        <v>5730</v>
      </c>
      <c r="H595" s="230"/>
      <c r="I595" s="236">
        <f>I594</f>
        <v>16.87</v>
      </c>
      <c r="J595" s="228">
        <f t="shared" si="334"/>
        <v>96665.1</v>
      </c>
      <c r="K595" s="231">
        <f t="shared" si="335"/>
        <v>183691.5</v>
      </c>
      <c r="L595" s="2"/>
      <c r="M595" s="148" t="s">
        <v>81</v>
      </c>
      <c r="N595" s="149">
        <f t="shared" si="345"/>
        <v>79</v>
      </c>
      <c r="O595" s="125">
        <f t="shared" si="346"/>
        <v>2008.8</v>
      </c>
      <c r="P595" s="106">
        <f t="shared" si="347"/>
        <v>100</v>
      </c>
      <c r="Q595" s="98">
        <f t="shared" si="336"/>
        <v>134890.92000000001</v>
      </c>
      <c r="R595" s="145" t="s">
        <v>9</v>
      </c>
      <c r="S595" s="146">
        <v>5730</v>
      </c>
      <c r="T595" s="146"/>
      <c r="U595" s="127">
        <f>U594</f>
        <v>11.87</v>
      </c>
      <c r="V595" s="98">
        <f t="shared" si="337"/>
        <v>68015.100000000006</v>
      </c>
      <c r="W595" s="147">
        <f t="shared" si="338"/>
        <v>202906.02</v>
      </c>
      <c r="X595" s="2"/>
      <c r="Y595" s="148" t="s">
        <v>81</v>
      </c>
      <c r="Z595" s="149">
        <f t="shared" si="348"/>
        <v>79</v>
      </c>
      <c r="AA595" s="125">
        <f t="shared" si="349"/>
        <v>2008.8</v>
      </c>
      <c r="AB595" s="106">
        <f t="shared" si="350"/>
        <v>100</v>
      </c>
      <c r="AC595" s="98">
        <f t="shared" si="339"/>
        <v>134890.92000000001</v>
      </c>
      <c r="AD595" s="145" t="s">
        <v>9</v>
      </c>
      <c r="AE595" s="146">
        <v>5730</v>
      </c>
      <c r="AF595" s="146"/>
      <c r="AG595" s="127">
        <f>AG594</f>
        <v>11.87</v>
      </c>
      <c r="AH595" s="98">
        <f t="shared" si="340"/>
        <v>68015.100000000006</v>
      </c>
      <c r="AI595" s="147">
        <f t="shared" si="341"/>
        <v>202906.02</v>
      </c>
    </row>
    <row r="596" spans="1:35" ht="30" customHeight="1" thickBot="1" x14ac:dyDescent="0.2">
      <c r="A596" s="237" t="s">
        <v>82</v>
      </c>
      <c r="B596" s="238">
        <f t="shared" si="342"/>
        <v>79</v>
      </c>
      <c r="C596" s="239">
        <f t="shared" si="343"/>
        <v>1296</v>
      </c>
      <c r="D596" s="238">
        <f t="shared" si="344"/>
        <v>100</v>
      </c>
      <c r="E596" s="240">
        <f t="shared" si="333"/>
        <v>87026.4</v>
      </c>
      <c r="F596" s="241" t="s">
        <v>9</v>
      </c>
      <c r="G596" s="242">
        <v>5790</v>
      </c>
      <c r="H596" s="242"/>
      <c r="I596" s="239">
        <f>I595</f>
        <v>16.87</v>
      </c>
      <c r="J596" s="240">
        <f t="shared" si="334"/>
        <v>97677.3</v>
      </c>
      <c r="K596" s="243">
        <f t="shared" si="335"/>
        <v>184703.7</v>
      </c>
      <c r="L596" s="2"/>
      <c r="M596" s="150" t="s">
        <v>82</v>
      </c>
      <c r="N596" s="151">
        <f t="shared" si="345"/>
        <v>79</v>
      </c>
      <c r="O596" s="126">
        <f t="shared" si="346"/>
        <v>2008.8</v>
      </c>
      <c r="P596" s="152">
        <f t="shared" si="347"/>
        <v>100</v>
      </c>
      <c r="Q596" s="99">
        <f t="shared" si="336"/>
        <v>134890.92000000001</v>
      </c>
      <c r="R596" s="153" t="s">
        <v>9</v>
      </c>
      <c r="S596" s="154">
        <v>5790</v>
      </c>
      <c r="T596" s="154"/>
      <c r="U596" s="126">
        <f>U595</f>
        <v>11.87</v>
      </c>
      <c r="V596" s="99">
        <f t="shared" si="337"/>
        <v>68727.3</v>
      </c>
      <c r="W596" s="155">
        <f t="shared" si="338"/>
        <v>203618.22</v>
      </c>
      <c r="X596" s="2"/>
      <c r="Y596" s="150" t="s">
        <v>82</v>
      </c>
      <c r="Z596" s="151">
        <f t="shared" si="348"/>
        <v>79</v>
      </c>
      <c r="AA596" s="126">
        <f t="shared" si="349"/>
        <v>2008.8</v>
      </c>
      <c r="AB596" s="152">
        <f t="shared" si="350"/>
        <v>100</v>
      </c>
      <c r="AC596" s="99">
        <f t="shared" si="339"/>
        <v>134890.92000000001</v>
      </c>
      <c r="AD596" s="153" t="s">
        <v>9</v>
      </c>
      <c r="AE596" s="154">
        <v>5790</v>
      </c>
      <c r="AF596" s="154"/>
      <c r="AG596" s="126">
        <f>AG595</f>
        <v>11.87</v>
      </c>
      <c r="AH596" s="99">
        <f t="shared" si="340"/>
        <v>68727.3</v>
      </c>
      <c r="AI596" s="155">
        <f t="shared" si="341"/>
        <v>203618.22</v>
      </c>
    </row>
    <row r="597" spans="1:35" ht="30" customHeight="1" thickBot="1" x14ac:dyDescent="0.2">
      <c r="A597" s="251" t="s">
        <v>41</v>
      </c>
      <c r="B597" s="245"/>
      <c r="C597" s="245"/>
      <c r="D597" s="245"/>
      <c r="E597" s="246">
        <f>SUM(E585:E596)</f>
        <v>1044316.8000000002</v>
      </c>
      <c r="F597" s="247"/>
      <c r="G597" s="248">
        <f>SUM(G585:G596)</f>
        <v>95549</v>
      </c>
      <c r="H597" s="248"/>
      <c r="I597" s="245"/>
      <c r="J597" s="246">
        <f>SUM(J585:J596)</f>
        <v>1660109.2700000003</v>
      </c>
      <c r="K597" s="249">
        <f>SUM(K585:K596)</f>
        <v>2704426.07</v>
      </c>
      <c r="L597" s="89" t="s">
        <v>113</v>
      </c>
      <c r="M597" s="164" t="s">
        <v>41</v>
      </c>
      <c r="N597" s="157"/>
      <c r="O597" s="157"/>
      <c r="P597" s="157"/>
      <c r="Q597" s="158">
        <f>SUM(Q585:Q596)</f>
        <v>1618691.0399999998</v>
      </c>
      <c r="R597" s="159"/>
      <c r="S597" s="160">
        <f>SUM(S585:S596)</f>
        <v>95549</v>
      </c>
      <c r="T597" s="160"/>
      <c r="U597" s="157"/>
      <c r="V597" s="158">
        <f>SUM(V585:V596)</f>
        <v>1165053.8500000001</v>
      </c>
      <c r="W597" s="161">
        <f>SUM(W585:W596)</f>
        <v>2783744.89</v>
      </c>
      <c r="X597" s="89" t="s">
        <v>113</v>
      </c>
      <c r="Y597" s="164" t="s">
        <v>41</v>
      </c>
      <c r="Z597" s="157"/>
      <c r="AA597" s="157"/>
      <c r="AB597" s="157"/>
      <c r="AC597" s="158">
        <f>SUM(AC585:AC596)</f>
        <v>1618691.0399999998</v>
      </c>
      <c r="AD597" s="159"/>
      <c r="AE597" s="160">
        <f>SUM(AE585:AE596)</f>
        <v>95549</v>
      </c>
      <c r="AF597" s="160"/>
      <c r="AG597" s="157"/>
      <c r="AH597" s="158">
        <f>SUM(AH585:AH596)</f>
        <v>1165053.8500000001</v>
      </c>
      <c r="AI597" s="161">
        <f>SUM(AI585:AI596)</f>
        <v>2783744.89</v>
      </c>
    </row>
    <row r="598" spans="1:35" ht="15" customHeight="1" x14ac:dyDescent="0.15">
      <c r="A598" s="214"/>
      <c r="B598" s="250"/>
      <c r="C598" s="250"/>
      <c r="D598" s="250"/>
      <c r="E598" s="250"/>
      <c r="F598" s="250"/>
      <c r="G598" s="250"/>
      <c r="H598" s="250"/>
      <c r="I598" s="250"/>
      <c r="J598" s="250"/>
      <c r="K598" s="250"/>
      <c r="L598" s="89"/>
      <c r="N598" s="162"/>
      <c r="O598" s="162"/>
      <c r="P598" s="162"/>
      <c r="Q598" s="162"/>
      <c r="R598" s="162"/>
      <c r="S598" s="162"/>
      <c r="T598" s="162"/>
      <c r="U598" s="162"/>
      <c r="V598" s="162"/>
      <c r="W598" s="162"/>
      <c r="X598" s="89"/>
      <c r="Z598" s="162"/>
      <c r="AA598" s="162"/>
      <c r="AB598" s="162"/>
      <c r="AC598" s="162"/>
      <c r="AD598" s="162"/>
      <c r="AE598" s="162"/>
      <c r="AF598" s="162"/>
      <c r="AG598" s="162"/>
      <c r="AH598" s="162"/>
      <c r="AI598" s="162"/>
    </row>
    <row r="599" spans="1:35" x14ac:dyDescent="0.15">
      <c r="A599" s="211" t="s">
        <v>153</v>
      </c>
      <c r="B599" s="212">
        <f>B574+1</f>
        <v>22</v>
      </c>
      <c r="C599" s="213"/>
      <c r="D599" s="213"/>
      <c r="E599" s="213"/>
      <c r="F599" s="213"/>
      <c r="G599" s="213"/>
      <c r="H599" s="213"/>
      <c r="I599" s="213"/>
      <c r="J599" s="213"/>
      <c r="K599" s="692" t="str">
        <f>IF(K622-W622&lt;=0,"現状のまま","メニュー変更")</f>
        <v>現状のまま</v>
      </c>
      <c r="L599" s="2"/>
      <c r="M599" s="47" t="s">
        <v>153</v>
      </c>
      <c r="N599" s="62">
        <f>N574+1</f>
        <v>22</v>
      </c>
      <c r="X599" s="2"/>
      <c r="Y599" s="47" t="s">
        <v>153</v>
      </c>
      <c r="Z599" s="62" t="e">
        <f>Z574+1</f>
        <v>#REF!</v>
      </c>
    </row>
    <row r="600" spans="1:35" x14ac:dyDescent="0.15">
      <c r="A600" s="214"/>
      <c r="B600" s="213"/>
      <c r="C600" s="213"/>
      <c r="D600" s="213"/>
      <c r="E600" s="213"/>
      <c r="F600" s="213"/>
      <c r="G600" s="213"/>
      <c r="H600" s="213"/>
      <c r="I600" s="213"/>
      <c r="J600" s="213"/>
      <c r="K600" s="692"/>
      <c r="L600" s="2"/>
      <c r="X600" s="2"/>
    </row>
    <row r="601" spans="1:35" x14ac:dyDescent="0.15">
      <c r="A601" s="214"/>
      <c r="B601" s="213"/>
      <c r="C601" s="213"/>
      <c r="D601" s="213"/>
      <c r="E601" s="213"/>
      <c r="F601" s="213"/>
      <c r="G601" s="213"/>
      <c r="H601" s="213"/>
      <c r="I601" s="213"/>
      <c r="J601" s="213"/>
      <c r="K601" s="692"/>
      <c r="L601" s="2"/>
      <c r="X601" s="2"/>
    </row>
    <row r="602" spans="1:35" ht="17.25" x14ac:dyDescent="0.15">
      <c r="A602" s="694" t="str">
        <f>$A$5</f>
        <v>平成29年度小郡市役所庁舎外25施設電力需給</v>
      </c>
      <c r="B602" s="694"/>
      <c r="C602" s="694"/>
      <c r="D602" s="694"/>
      <c r="E602" s="694"/>
      <c r="F602" s="694"/>
      <c r="G602" s="694"/>
      <c r="H602" s="694"/>
      <c r="I602" s="694"/>
      <c r="J602" s="694"/>
      <c r="K602" s="694"/>
      <c r="L602" s="2"/>
      <c r="M602" s="553" t="str">
        <f>$A$5</f>
        <v>平成29年度小郡市役所庁舎外25施設電力需給</v>
      </c>
      <c r="N602" s="553"/>
      <c r="O602" s="553"/>
      <c r="P602" s="553"/>
      <c r="Q602" s="553"/>
      <c r="R602" s="553"/>
      <c r="S602" s="553"/>
      <c r="T602" s="553"/>
      <c r="U602" s="553"/>
      <c r="V602" s="553"/>
      <c r="W602" s="553"/>
      <c r="X602" s="2"/>
      <c r="Y602" s="553" t="str">
        <f>$A$5</f>
        <v>平成29年度小郡市役所庁舎外25施設電力需給</v>
      </c>
      <c r="Z602" s="553"/>
      <c r="AA602" s="553"/>
      <c r="AB602" s="553"/>
      <c r="AC602" s="553"/>
      <c r="AD602" s="553"/>
      <c r="AE602" s="553"/>
      <c r="AF602" s="553"/>
      <c r="AG602" s="553"/>
      <c r="AH602" s="553"/>
      <c r="AI602" s="553"/>
    </row>
    <row r="603" spans="1:35" x14ac:dyDescent="0.15">
      <c r="A603" s="689" t="str">
        <f>$A$6</f>
        <v>（平成３０年１月～平成３０年１２月期間中の予定金額）</v>
      </c>
      <c r="B603" s="689"/>
      <c r="C603" s="689"/>
      <c r="D603" s="689"/>
      <c r="E603" s="689"/>
      <c r="F603" s="689"/>
      <c r="G603" s="689"/>
      <c r="H603" s="689"/>
      <c r="I603" s="689"/>
      <c r="J603" s="689"/>
      <c r="K603" s="689"/>
      <c r="L603" s="2"/>
      <c r="M603" s="555" t="str">
        <f>$A$6</f>
        <v>（平成３０年１月～平成３０年１２月期間中の予定金額）</v>
      </c>
      <c r="N603" s="555"/>
      <c r="O603" s="555"/>
      <c r="P603" s="555"/>
      <c r="Q603" s="555"/>
      <c r="R603" s="555"/>
      <c r="S603" s="555"/>
      <c r="T603" s="555"/>
      <c r="U603" s="555"/>
      <c r="V603" s="555"/>
      <c r="W603" s="555"/>
      <c r="X603" s="2"/>
      <c r="Y603" s="555" t="str">
        <f>$A$6</f>
        <v>（平成３０年１月～平成３０年１２月期間中の予定金額）</v>
      </c>
      <c r="Z603" s="555"/>
      <c r="AA603" s="555"/>
      <c r="AB603" s="555"/>
      <c r="AC603" s="555"/>
      <c r="AD603" s="555"/>
      <c r="AE603" s="555"/>
      <c r="AF603" s="555"/>
      <c r="AG603" s="555"/>
      <c r="AH603" s="555"/>
      <c r="AI603" s="555"/>
    </row>
    <row r="604" spans="1:35" ht="14.25" thickBot="1" x14ac:dyDescent="0.2">
      <c r="A604" s="252" t="s">
        <v>124</v>
      </c>
      <c r="B604" s="213"/>
      <c r="C604" s="213"/>
      <c r="D604" s="213"/>
      <c r="E604" s="213"/>
      <c r="F604" s="213"/>
      <c r="G604" s="213"/>
      <c r="H604" s="213"/>
      <c r="I604" s="213"/>
      <c r="J604" s="213"/>
      <c r="K604" s="211" t="s">
        <v>84</v>
      </c>
      <c r="L604" s="2"/>
      <c r="M604" s="209" t="s">
        <v>124</v>
      </c>
      <c r="W604" s="47" t="s">
        <v>70</v>
      </c>
      <c r="X604" s="2"/>
      <c r="Y604" s="209" t="s">
        <v>124</v>
      </c>
      <c r="AI604" s="47" t="s">
        <v>70</v>
      </c>
    </row>
    <row r="605" spans="1:35" ht="18" customHeight="1" thickBot="1" x14ac:dyDescent="0.2">
      <c r="A605" s="695" t="s">
        <v>33</v>
      </c>
      <c r="B605" s="683" t="s">
        <v>24</v>
      </c>
      <c r="C605" s="684"/>
      <c r="D605" s="684"/>
      <c r="E605" s="685"/>
      <c r="F605" s="686" t="s">
        <v>34</v>
      </c>
      <c r="G605" s="687"/>
      <c r="H605" s="687"/>
      <c r="I605" s="687"/>
      <c r="J605" s="688"/>
      <c r="K605" s="667" t="s">
        <v>35</v>
      </c>
      <c r="L605" s="2"/>
      <c r="M605" s="567" t="s">
        <v>33</v>
      </c>
      <c r="N605" s="570" t="s">
        <v>24</v>
      </c>
      <c r="O605" s="571"/>
      <c r="P605" s="571"/>
      <c r="Q605" s="572"/>
      <c r="R605" s="573" t="s">
        <v>34</v>
      </c>
      <c r="S605" s="574"/>
      <c r="T605" s="574"/>
      <c r="U605" s="574"/>
      <c r="V605" s="575"/>
      <c r="W605" s="544" t="s">
        <v>35</v>
      </c>
      <c r="X605" s="2"/>
      <c r="Y605" s="567" t="s">
        <v>33</v>
      </c>
      <c r="Z605" s="570" t="s">
        <v>24</v>
      </c>
      <c r="AA605" s="571"/>
      <c r="AB605" s="571"/>
      <c r="AC605" s="572"/>
      <c r="AD605" s="573" t="s">
        <v>34</v>
      </c>
      <c r="AE605" s="574"/>
      <c r="AF605" s="574"/>
      <c r="AG605" s="574"/>
      <c r="AH605" s="575"/>
      <c r="AI605" s="544" t="s">
        <v>35</v>
      </c>
    </row>
    <row r="606" spans="1:35" ht="13.5" customHeight="1" x14ac:dyDescent="0.15">
      <c r="A606" s="696"/>
      <c r="B606" s="669" t="s">
        <v>28</v>
      </c>
      <c r="C606" s="667" t="s">
        <v>29</v>
      </c>
      <c r="D606" s="669" t="s">
        <v>25</v>
      </c>
      <c r="E606" s="678" t="s">
        <v>31</v>
      </c>
      <c r="F606" s="679" t="s">
        <v>36</v>
      </c>
      <c r="G606" s="680"/>
      <c r="H606" s="216"/>
      <c r="I606" s="667" t="s">
        <v>37</v>
      </c>
      <c r="J606" s="669" t="s">
        <v>38</v>
      </c>
      <c r="K606" s="668"/>
      <c r="L606" s="2"/>
      <c r="M606" s="568"/>
      <c r="N606" s="546" t="s">
        <v>28</v>
      </c>
      <c r="O606" s="544" t="s">
        <v>29</v>
      </c>
      <c r="P606" s="546" t="s">
        <v>25</v>
      </c>
      <c r="Q606" s="582" t="s">
        <v>31</v>
      </c>
      <c r="R606" s="540" t="s">
        <v>36</v>
      </c>
      <c r="S606" s="541"/>
      <c r="T606" s="135"/>
      <c r="U606" s="544" t="s">
        <v>37</v>
      </c>
      <c r="V606" s="546" t="s">
        <v>38</v>
      </c>
      <c r="W606" s="545"/>
      <c r="X606" s="2"/>
      <c r="Y606" s="568"/>
      <c r="Z606" s="546" t="s">
        <v>28</v>
      </c>
      <c r="AA606" s="544" t="s">
        <v>29</v>
      </c>
      <c r="AB606" s="546" t="s">
        <v>25</v>
      </c>
      <c r="AC606" s="582" t="s">
        <v>31</v>
      </c>
      <c r="AD606" s="540" t="s">
        <v>36</v>
      </c>
      <c r="AE606" s="541"/>
      <c r="AF606" s="135"/>
      <c r="AG606" s="544" t="s">
        <v>37</v>
      </c>
      <c r="AH606" s="546" t="s">
        <v>38</v>
      </c>
      <c r="AI606" s="545"/>
    </row>
    <row r="607" spans="1:35" x14ac:dyDescent="0.15">
      <c r="A607" s="696"/>
      <c r="B607" s="669"/>
      <c r="C607" s="668"/>
      <c r="D607" s="669"/>
      <c r="E607" s="669"/>
      <c r="F607" s="681"/>
      <c r="G607" s="682"/>
      <c r="H607" s="217"/>
      <c r="I607" s="668"/>
      <c r="J607" s="669"/>
      <c r="K607" s="668"/>
      <c r="L607" s="2"/>
      <c r="M607" s="568"/>
      <c r="N607" s="546"/>
      <c r="O607" s="545"/>
      <c r="P607" s="546"/>
      <c r="Q607" s="546"/>
      <c r="R607" s="542"/>
      <c r="S607" s="543"/>
      <c r="T607" s="136"/>
      <c r="U607" s="545"/>
      <c r="V607" s="546"/>
      <c r="W607" s="545"/>
      <c r="X607" s="2"/>
      <c r="Y607" s="568"/>
      <c r="Z607" s="546"/>
      <c r="AA607" s="545"/>
      <c r="AB607" s="546"/>
      <c r="AC607" s="546"/>
      <c r="AD607" s="542"/>
      <c r="AE607" s="543"/>
      <c r="AF607" s="136"/>
      <c r="AG607" s="545"/>
      <c r="AH607" s="546"/>
      <c r="AI607" s="545"/>
    </row>
    <row r="608" spans="1:35" ht="23.25" customHeight="1" x14ac:dyDescent="0.15">
      <c r="A608" s="696"/>
      <c r="B608" s="218" t="s">
        <v>13</v>
      </c>
      <c r="C608" s="219" t="s">
        <v>30</v>
      </c>
      <c r="D608" s="218" t="s">
        <v>14</v>
      </c>
      <c r="E608" s="218" t="s">
        <v>40</v>
      </c>
      <c r="F608" s="665" t="s">
        <v>15</v>
      </c>
      <c r="G608" s="666"/>
      <c r="H608" s="220"/>
      <c r="I608" s="219" t="s">
        <v>30</v>
      </c>
      <c r="J608" s="218" t="s">
        <v>40</v>
      </c>
      <c r="K608" s="218" t="s">
        <v>40</v>
      </c>
      <c r="L608" s="2"/>
      <c r="M608" s="568"/>
      <c r="N608" s="137" t="s">
        <v>152</v>
      </c>
      <c r="O608" s="138" t="s">
        <v>30</v>
      </c>
      <c r="P608" s="137" t="s">
        <v>14</v>
      </c>
      <c r="Q608" s="137" t="s">
        <v>40</v>
      </c>
      <c r="R608" s="549" t="s">
        <v>15</v>
      </c>
      <c r="S608" s="550"/>
      <c r="T608" s="139"/>
      <c r="U608" s="138" t="s">
        <v>30</v>
      </c>
      <c r="V608" s="137" t="s">
        <v>40</v>
      </c>
      <c r="W608" s="137" t="s">
        <v>40</v>
      </c>
      <c r="X608" s="2"/>
      <c r="Y608" s="568"/>
      <c r="Z608" s="137" t="s">
        <v>152</v>
      </c>
      <c r="AA608" s="138" t="s">
        <v>30</v>
      </c>
      <c r="AB608" s="137" t="s">
        <v>14</v>
      </c>
      <c r="AC608" s="137" t="s">
        <v>40</v>
      </c>
      <c r="AD608" s="549" t="s">
        <v>15</v>
      </c>
      <c r="AE608" s="550"/>
      <c r="AF608" s="139"/>
      <c r="AG608" s="138" t="s">
        <v>30</v>
      </c>
      <c r="AH608" s="137" t="s">
        <v>40</v>
      </c>
      <c r="AI608" s="137" t="s">
        <v>40</v>
      </c>
    </row>
    <row r="609" spans="1:35" ht="15.75" customHeight="1" thickBot="1" x14ac:dyDescent="0.2">
      <c r="A609" s="697"/>
      <c r="B609" s="221" t="s">
        <v>16</v>
      </c>
      <c r="C609" s="221" t="s">
        <v>17</v>
      </c>
      <c r="D609" s="221" t="s">
        <v>18</v>
      </c>
      <c r="E609" s="221" t="s">
        <v>19</v>
      </c>
      <c r="F609" s="222"/>
      <c r="G609" s="223" t="s">
        <v>20</v>
      </c>
      <c r="H609" s="223"/>
      <c r="I609" s="221" t="s">
        <v>21</v>
      </c>
      <c r="J609" s="221" t="s">
        <v>22</v>
      </c>
      <c r="K609" s="223" t="s">
        <v>23</v>
      </c>
      <c r="L609" s="2"/>
      <c r="M609" s="569"/>
      <c r="N609" s="122" t="s">
        <v>16</v>
      </c>
      <c r="O609" s="122" t="s">
        <v>17</v>
      </c>
      <c r="P609" s="122" t="s">
        <v>18</v>
      </c>
      <c r="Q609" s="122" t="s">
        <v>19</v>
      </c>
      <c r="R609" s="140"/>
      <c r="S609" s="141" t="s">
        <v>20</v>
      </c>
      <c r="T609" s="141"/>
      <c r="U609" s="122" t="s">
        <v>21</v>
      </c>
      <c r="V609" s="122" t="s">
        <v>22</v>
      </c>
      <c r="W609" s="141" t="s">
        <v>23</v>
      </c>
      <c r="X609" s="2"/>
      <c r="Y609" s="569"/>
      <c r="Z609" s="122" t="s">
        <v>16</v>
      </c>
      <c r="AA609" s="122" t="s">
        <v>17</v>
      </c>
      <c r="AB609" s="122" t="s">
        <v>18</v>
      </c>
      <c r="AC609" s="122" t="s">
        <v>19</v>
      </c>
      <c r="AD609" s="140"/>
      <c r="AE609" s="141" t="s">
        <v>20</v>
      </c>
      <c r="AF609" s="141"/>
      <c r="AG609" s="122" t="s">
        <v>21</v>
      </c>
      <c r="AH609" s="122" t="s">
        <v>22</v>
      </c>
      <c r="AI609" s="141" t="s">
        <v>23</v>
      </c>
    </row>
    <row r="610" spans="1:35" ht="30" customHeight="1" x14ac:dyDescent="0.15">
      <c r="A610" s="224" t="s">
        <v>83</v>
      </c>
      <c r="B610" s="225">
        <v>44</v>
      </c>
      <c r="C610" s="226">
        <v>1296</v>
      </c>
      <c r="D610" s="225">
        <v>100</v>
      </c>
      <c r="E610" s="228">
        <f t="shared" ref="E610:E621" si="351">ROUNDDOWN(B610*C610*((185-D610)/100),2)</f>
        <v>48470.400000000001</v>
      </c>
      <c r="F610" s="229" t="s">
        <v>85</v>
      </c>
      <c r="G610" s="230">
        <v>2699</v>
      </c>
      <c r="H610" s="230"/>
      <c r="I610" s="226">
        <v>16.87</v>
      </c>
      <c r="J610" s="228">
        <f t="shared" ref="J610:J621" si="352">ROUNDDOWN(G610*I610,2)</f>
        <v>45532.13</v>
      </c>
      <c r="K610" s="231">
        <f t="shared" ref="K610:K621" si="353">ROUNDDOWN(J610+E610,2)</f>
        <v>94002.53</v>
      </c>
      <c r="L610" s="2"/>
      <c r="M610" s="142" t="s">
        <v>83</v>
      </c>
      <c r="N610" s="143">
        <v>44</v>
      </c>
      <c r="O610" s="123">
        <v>2008.8</v>
      </c>
      <c r="P610" s="163">
        <v>100</v>
      </c>
      <c r="Q610" s="98">
        <f t="shared" ref="Q610:Q621" si="354">ROUNDDOWN(N610*O610*((185-P610)/100),2)</f>
        <v>75129.119999999995</v>
      </c>
      <c r="R610" s="145" t="s">
        <v>85</v>
      </c>
      <c r="S610" s="146">
        <v>2699</v>
      </c>
      <c r="T610" s="146"/>
      <c r="U610" s="124">
        <v>11.87</v>
      </c>
      <c r="V610" s="98">
        <f t="shared" ref="V610:V621" si="355">ROUNDDOWN(S610*U610,2)</f>
        <v>32037.13</v>
      </c>
      <c r="W610" s="147">
        <f t="shared" ref="W610:W621" si="356">ROUNDDOWN(V610+Q610,2)</f>
        <v>107166.25</v>
      </c>
      <c r="X610" s="2"/>
      <c r="Y610" s="142" t="s">
        <v>83</v>
      </c>
      <c r="Z610" s="143">
        <v>44</v>
      </c>
      <c r="AA610" s="123">
        <v>2008.8</v>
      </c>
      <c r="AB610" s="163">
        <v>100</v>
      </c>
      <c r="AC610" s="98">
        <f t="shared" ref="AC610:AC621" si="357">ROUNDDOWN(Z610*AA610*((185-AB610)/100),2)</f>
        <v>75129.119999999995</v>
      </c>
      <c r="AD610" s="145" t="s">
        <v>85</v>
      </c>
      <c r="AE610" s="146">
        <v>2699</v>
      </c>
      <c r="AF610" s="146"/>
      <c r="AG610" s="124">
        <v>11.87</v>
      </c>
      <c r="AH610" s="98">
        <f t="shared" ref="AH610:AH621" si="358">ROUNDDOWN(AE610*AG610,2)</f>
        <v>32037.13</v>
      </c>
      <c r="AI610" s="147">
        <f t="shared" ref="AI610:AI621" si="359">ROUNDDOWN(AH610+AC610,2)</f>
        <v>107166.25</v>
      </c>
    </row>
    <row r="611" spans="1:35" ht="30" customHeight="1" x14ac:dyDescent="0.15">
      <c r="A611" s="232" t="s">
        <v>72</v>
      </c>
      <c r="B611" s="233">
        <f t="shared" ref="B611:B621" si="360">B610</f>
        <v>44</v>
      </c>
      <c r="C611" s="234">
        <f t="shared" ref="C611:C621" si="361">C610</f>
        <v>1296</v>
      </c>
      <c r="D611" s="235">
        <f t="shared" ref="D611:D621" si="362">D610</f>
        <v>100</v>
      </c>
      <c r="E611" s="228">
        <f t="shared" si="351"/>
        <v>48470.400000000001</v>
      </c>
      <c r="F611" s="229" t="s">
        <v>112</v>
      </c>
      <c r="G611" s="230">
        <v>3452</v>
      </c>
      <c r="H611" s="230"/>
      <c r="I611" s="234">
        <f>I610</f>
        <v>16.87</v>
      </c>
      <c r="J611" s="228">
        <f t="shared" si="352"/>
        <v>58235.24</v>
      </c>
      <c r="K611" s="231">
        <f t="shared" si="353"/>
        <v>106705.64</v>
      </c>
      <c r="L611" s="2"/>
      <c r="M611" s="148" t="s">
        <v>72</v>
      </c>
      <c r="N611" s="149">
        <f t="shared" ref="N611:N621" si="363">N610</f>
        <v>44</v>
      </c>
      <c r="O611" s="125">
        <f t="shared" ref="O611:O621" si="364">O610</f>
        <v>2008.8</v>
      </c>
      <c r="P611" s="106">
        <f t="shared" ref="P611:P621" si="365">P610</f>
        <v>100</v>
      </c>
      <c r="Q611" s="98">
        <f t="shared" si="354"/>
        <v>75129.119999999995</v>
      </c>
      <c r="R611" s="145" t="s">
        <v>112</v>
      </c>
      <c r="S611" s="146">
        <v>3452</v>
      </c>
      <c r="T611" s="146"/>
      <c r="U611" s="125">
        <f>U610</f>
        <v>11.87</v>
      </c>
      <c r="V611" s="98">
        <f t="shared" si="355"/>
        <v>40975.24</v>
      </c>
      <c r="W611" s="147">
        <f t="shared" si="356"/>
        <v>116104.36</v>
      </c>
      <c r="X611" s="2"/>
      <c r="Y611" s="148" t="s">
        <v>72</v>
      </c>
      <c r="Z611" s="149">
        <f t="shared" ref="Z611:Z621" si="366">Z610</f>
        <v>44</v>
      </c>
      <c r="AA611" s="125">
        <f t="shared" ref="AA611:AA621" si="367">AA610</f>
        <v>2008.8</v>
      </c>
      <c r="AB611" s="106">
        <f t="shared" ref="AB611:AB621" si="368">AB610</f>
        <v>100</v>
      </c>
      <c r="AC611" s="98">
        <f t="shared" si="357"/>
        <v>75129.119999999995</v>
      </c>
      <c r="AD611" s="145" t="s">
        <v>112</v>
      </c>
      <c r="AE611" s="146">
        <v>3452</v>
      </c>
      <c r="AF611" s="146"/>
      <c r="AG611" s="125">
        <f>AG610</f>
        <v>11.87</v>
      </c>
      <c r="AH611" s="98">
        <f t="shared" si="358"/>
        <v>40975.24</v>
      </c>
      <c r="AI611" s="147">
        <f t="shared" si="359"/>
        <v>116104.36</v>
      </c>
    </row>
    <row r="612" spans="1:35" ht="30" customHeight="1" x14ac:dyDescent="0.15">
      <c r="A612" s="232" t="s">
        <v>73</v>
      </c>
      <c r="B612" s="233">
        <f t="shared" si="360"/>
        <v>44</v>
      </c>
      <c r="C612" s="234">
        <f t="shared" si="361"/>
        <v>1296</v>
      </c>
      <c r="D612" s="235">
        <f t="shared" si="362"/>
        <v>100</v>
      </c>
      <c r="E612" s="228">
        <f t="shared" si="351"/>
        <v>48470.400000000001</v>
      </c>
      <c r="F612" s="229" t="s">
        <v>9</v>
      </c>
      <c r="G612" s="230">
        <v>3387</v>
      </c>
      <c r="H612" s="230"/>
      <c r="I612" s="234">
        <f>I611</f>
        <v>16.87</v>
      </c>
      <c r="J612" s="228">
        <f t="shared" si="352"/>
        <v>57138.69</v>
      </c>
      <c r="K612" s="231">
        <f t="shared" si="353"/>
        <v>105609.09</v>
      </c>
      <c r="L612" s="2"/>
      <c r="M612" s="148" t="s">
        <v>73</v>
      </c>
      <c r="N612" s="149">
        <f t="shared" si="363"/>
        <v>44</v>
      </c>
      <c r="O612" s="125">
        <f t="shared" si="364"/>
        <v>2008.8</v>
      </c>
      <c r="P612" s="106">
        <f t="shared" si="365"/>
        <v>100</v>
      </c>
      <c r="Q612" s="98">
        <f t="shared" si="354"/>
        <v>75129.119999999995</v>
      </c>
      <c r="R612" s="145" t="s">
        <v>9</v>
      </c>
      <c r="S612" s="146">
        <v>3387</v>
      </c>
      <c r="T612" s="146"/>
      <c r="U612" s="125">
        <f>U611</f>
        <v>11.87</v>
      </c>
      <c r="V612" s="98">
        <f t="shared" si="355"/>
        <v>40203.69</v>
      </c>
      <c r="W612" s="147">
        <f t="shared" si="356"/>
        <v>115332.81</v>
      </c>
      <c r="X612" s="2"/>
      <c r="Y612" s="148" t="s">
        <v>73</v>
      </c>
      <c r="Z612" s="149">
        <f t="shared" si="366"/>
        <v>44</v>
      </c>
      <c r="AA612" s="125">
        <f t="shared" si="367"/>
        <v>2008.8</v>
      </c>
      <c r="AB612" s="106">
        <f t="shared" si="368"/>
        <v>100</v>
      </c>
      <c r="AC612" s="98">
        <f t="shared" si="357"/>
        <v>75129.119999999995</v>
      </c>
      <c r="AD612" s="145" t="s">
        <v>9</v>
      </c>
      <c r="AE612" s="146">
        <v>3387</v>
      </c>
      <c r="AF612" s="146"/>
      <c r="AG612" s="125">
        <f>AG611</f>
        <v>11.87</v>
      </c>
      <c r="AH612" s="98">
        <f t="shared" si="358"/>
        <v>40203.69</v>
      </c>
      <c r="AI612" s="147">
        <f t="shared" si="359"/>
        <v>115332.81</v>
      </c>
    </row>
    <row r="613" spans="1:35" ht="30" customHeight="1" x14ac:dyDescent="0.15">
      <c r="A613" s="232" t="s">
        <v>74</v>
      </c>
      <c r="B613" s="233">
        <f t="shared" si="360"/>
        <v>44</v>
      </c>
      <c r="C613" s="234">
        <f t="shared" si="361"/>
        <v>1296</v>
      </c>
      <c r="D613" s="235">
        <f t="shared" si="362"/>
        <v>100</v>
      </c>
      <c r="E613" s="228">
        <f t="shared" si="351"/>
        <v>48470.400000000001</v>
      </c>
      <c r="F613" s="229" t="s">
        <v>9</v>
      </c>
      <c r="G613" s="230">
        <v>1850</v>
      </c>
      <c r="H613" s="230"/>
      <c r="I613" s="234">
        <f>I612</f>
        <v>16.87</v>
      </c>
      <c r="J613" s="228">
        <f t="shared" si="352"/>
        <v>31209.5</v>
      </c>
      <c r="K613" s="231">
        <f t="shared" si="353"/>
        <v>79679.899999999994</v>
      </c>
      <c r="L613" s="2"/>
      <c r="M613" s="148" t="s">
        <v>74</v>
      </c>
      <c r="N613" s="149">
        <f t="shared" si="363"/>
        <v>44</v>
      </c>
      <c r="O613" s="125">
        <f t="shared" si="364"/>
        <v>2008.8</v>
      </c>
      <c r="P613" s="106">
        <f t="shared" si="365"/>
        <v>100</v>
      </c>
      <c r="Q613" s="98">
        <f t="shared" si="354"/>
        <v>75129.119999999995</v>
      </c>
      <c r="R613" s="145" t="s">
        <v>9</v>
      </c>
      <c r="S613" s="146">
        <v>1850</v>
      </c>
      <c r="T613" s="146"/>
      <c r="U613" s="125">
        <f>U612</f>
        <v>11.87</v>
      </c>
      <c r="V613" s="98">
        <f t="shared" si="355"/>
        <v>21959.5</v>
      </c>
      <c r="W613" s="147">
        <f t="shared" si="356"/>
        <v>97088.62</v>
      </c>
      <c r="X613" s="2"/>
      <c r="Y613" s="148" t="s">
        <v>74</v>
      </c>
      <c r="Z613" s="149">
        <f t="shared" si="366"/>
        <v>44</v>
      </c>
      <c r="AA613" s="125">
        <f t="shared" si="367"/>
        <v>2008.8</v>
      </c>
      <c r="AB613" s="106">
        <f t="shared" si="368"/>
        <v>100</v>
      </c>
      <c r="AC613" s="98">
        <f t="shared" si="357"/>
        <v>75129.119999999995</v>
      </c>
      <c r="AD613" s="145" t="s">
        <v>9</v>
      </c>
      <c r="AE613" s="146">
        <v>1850</v>
      </c>
      <c r="AF613" s="146"/>
      <c r="AG613" s="125">
        <f>AG612</f>
        <v>11.87</v>
      </c>
      <c r="AH613" s="98">
        <f t="shared" si="358"/>
        <v>21959.5</v>
      </c>
      <c r="AI613" s="147">
        <f t="shared" si="359"/>
        <v>97088.62</v>
      </c>
    </row>
    <row r="614" spans="1:35" ht="30" customHeight="1" x14ac:dyDescent="0.15">
      <c r="A614" s="232" t="s">
        <v>75</v>
      </c>
      <c r="B614" s="233">
        <f t="shared" si="360"/>
        <v>44</v>
      </c>
      <c r="C614" s="234">
        <f t="shared" si="361"/>
        <v>1296</v>
      </c>
      <c r="D614" s="235">
        <f t="shared" si="362"/>
        <v>100</v>
      </c>
      <c r="E614" s="228">
        <f t="shared" si="351"/>
        <v>48470.400000000001</v>
      </c>
      <c r="F614" s="229" t="s">
        <v>9</v>
      </c>
      <c r="G614" s="230">
        <v>2592</v>
      </c>
      <c r="H614" s="230"/>
      <c r="I614" s="234">
        <f>I613</f>
        <v>16.87</v>
      </c>
      <c r="J614" s="228">
        <f t="shared" si="352"/>
        <v>43727.040000000001</v>
      </c>
      <c r="K614" s="231">
        <f t="shared" si="353"/>
        <v>92197.440000000002</v>
      </c>
      <c r="L614" s="2"/>
      <c r="M614" s="148" t="s">
        <v>75</v>
      </c>
      <c r="N614" s="149">
        <f t="shared" si="363"/>
        <v>44</v>
      </c>
      <c r="O614" s="125">
        <f t="shared" si="364"/>
        <v>2008.8</v>
      </c>
      <c r="P614" s="106">
        <f t="shared" si="365"/>
        <v>100</v>
      </c>
      <c r="Q614" s="98">
        <f t="shared" si="354"/>
        <v>75129.119999999995</v>
      </c>
      <c r="R614" s="145" t="s">
        <v>9</v>
      </c>
      <c r="S614" s="146">
        <v>2592</v>
      </c>
      <c r="T614" s="146"/>
      <c r="U614" s="125">
        <f>U613</f>
        <v>11.87</v>
      </c>
      <c r="V614" s="98">
        <f t="shared" si="355"/>
        <v>30767.040000000001</v>
      </c>
      <c r="W614" s="147">
        <f t="shared" si="356"/>
        <v>105896.16</v>
      </c>
      <c r="X614" s="2"/>
      <c r="Y614" s="148" t="s">
        <v>75</v>
      </c>
      <c r="Z614" s="149">
        <f t="shared" si="366"/>
        <v>44</v>
      </c>
      <c r="AA614" s="125">
        <f t="shared" si="367"/>
        <v>2008.8</v>
      </c>
      <c r="AB614" s="106">
        <f t="shared" si="368"/>
        <v>100</v>
      </c>
      <c r="AC614" s="98">
        <f t="shared" si="357"/>
        <v>75129.119999999995</v>
      </c>
      <c r="AD614" s="145" t="s">
        <v>9</v>
      </c>
      <c r="AE614" s="146">
        <v>2592</v>
      </c>
      <c r="AF614" s="146"/>
      <c r="AG614" s="125">
        <f>AG613</f>
        <v>11.87</v>
      </c>
      <c r="AH614" s="98">
        <f t="shared" si="358"/>
        <v>30767.040000000001</v>
      </c>
      <c r="AI614" s="147">
        <f t="shared" si="359"/>
        <v>105896.16</v>
      </c>
    </row>
    <row r="615" spans="1:35" ht="30" customHeight="1" x14ac:dyDescent="0.15">
      <c r="A615" s="232" t="s">
        <v>76</v>
      </c>
      <c r="B615" s="233">
        <f t="shared" si="360"/>
        <v>44</v>
      </c>
      <c r="C615" s="234">
        <f t="shared" si="361"/>
        <v>1296</v>
      </c>
      <c r="D615" s="235">
        <f t="shared" si="362"/>
        <v>100</v>
      </c>
      <c r="E615" s="228">
        <f t="shared" si="351"/>
        <v>48470.400000000001</v>
      </c>
      <c r="F615" s="229" t="s">
        <v>9</v>
      </c>
      <c r="G615" s="230">
        <v>5112</v>
      </c>
      <c r="H615" s="230"/>
      <c r="I615" s="234">
        <f>I614</f>
        <v>16.87</v>
      </c>
      <c r="J615" s="228">
        <f t="shared" si="352"/>
        <v>86239.44</v>
      </c>
      <c r="K615" s="231">
        <f t="shared" si="353"/>
        <v>134709.84</v>
      </c>
      <c r="L615" s="2"/>
      <c r="M615" s="148" t="s">
        <v>76</v>
      </c>
      <c r="N615" s="149">
        <f t="shared" si="363"/>
        <v>44</v>
      </c>
      <c r="O615" s="125">
        <f t="shared" si="364"/>
        <v>2008.8</v>
      </c>
      <c r="P615" s="106">
        <f t="shared" si="365"/>
        <v>100</v>
      </c>
      <c r="Q615" s="98">
        <f t="shared" si="354"/>
        <v>75129.119999999995</v>
      </c>
      <c r="R615" s="145" t="s">
        <v>9</v>
      </c>
      <c r="S615" s="146">
        <v>5112</v>
      </c>
      <c r="T615" s="146"/>
      <c r="U615" s="125">
        <f>U614</f>
        <v>11.87</v>
      </c>
      <c r="V615" s="98">
        <f t="shared" si="355"/>
        <v>60679.44</v>
      </c>
      <c r="W615" s="147">
        <f t="shared" si="356"/>
        <v>135808.56</v>
      </c>
      <c r="X615" s="2"/>
      <c r="Y615" s="148" t="s">
        <v>76</v>
      </c>
      <c r="Z615" s="149">
        <f t="shared" si="366"/>
        <v>44</v>
      </c>
      <c r="AA615" s="125">
        <f t="shared" si="367"/>
        <v>2008.8</v>
      </c>
      <c r="AB615" s="106">
        <f t="shared" si="368"/>
        <v>100</v>
      </c>
      <c r="AC615" s="98">
        <f t="shared" si="357"/>
        <v>75129.119999999995</v>
      </c>
      <c r="AD615" s="145" t="s">
        <v>9</v>
      </c>
      <c r="AE615" s="146">
        <v>5112</v>
      </c>
      <c r="AF615" s="146"/>
      <c r="AG615" s="125">
        <f>AG614</f>
        <v>11.87</v>
      </c>
      <c r="AH615" s="98">
        <f t="shared" si="358"/>
        <v>60679.44</v>
      </c>
      <c r="AI615" s="147">
        <f t="shared" si="359"/>
        <v>135808.56</v>
      </c>
    </row>
    <row r="616" spans="1:35" ht="30" customHeight="1" x14ac:dyDescent="0.15">
      <c r="A616" s="232" t="s">
        <v>77</v>
      </c>
      <c r="B616" s="233">
        <f t="shared" si="360"/>
        <v>44</v>
      </c>
      <c r="C616" s="234">
        <f t="shared" si="361"/>
        <v>1296</v>
      </c>
      <c r="D616" s="235">
        <f t="shared" si="362"/>
        <v>100</v>
      </c>
      <c r="E616" s="228">
        <f t="shared" si="351"/>
        <v>48470.400000000001</v>
      </c>
      <c r="F616" s="229" t="s">
        <v>71</v>
      </c>
      <c r="G616" s="230">
        <v>7416</v>
      </c>
      <c r="H616" s="230"/>
      <c r="I616" s="226">
        <v>18.29</v>
      </c>
      <c r="J616" s="228">
        <f t="shared" si="352"/>
        <v>135638.64000000001</v>
      </c>
      <c r="K616" s="231">
        <f t="shared" si="353"/>
        <v>184109.04</v>
      </c>
      <c r="L616" s="2"/>
      <c r="M616" s="148" t="s">
        <v>77</v>
      </c>
      <c r="N616" s="149">
        <f t="shared" si="363"/>
        <v>44</v>
      </c>
      <c r="O616" s="125">
        <f t="shared" si="364"/>
        <v>2008.8</v>
      </c>
      <c r="P616" s="106">
        <f t="shared" si="365"/>
        <v>100</v>
      </c>
      <c r="Q616" s="98">
        <f t="shared" si="354"/>
        <v>75129.119999999995</v>
      </c>
      <c r="R616" s="145" t="s">
        <v>71</v>
      </c>
      <c r="S616" s="146">
        <v>7416</v>
      </c>
      <c r="T616" s="146"/>
      <c r="U616" s="124">
        <v>12.78</v>
      </c>
      <c r="V616" s="98">
        <f t="shared" si="355"/>
        <v>94776.48</v>
      </c>
      <c r="W616" s="147">
        <f t="shared" si="356"/>
        <v>169905.6</v>
      </c>
      <c r="X616" s="2"/>
      <c r="Y616" s="148" t="s">
        <v>77</v>
      </c>
      <c r="Z616" s="149">
        <f t="shared" si="366"/>
        <v>44</v>
      </c>
      <c r="AA616" s="125">
        <f t="shared" si="367"/>
        <v>2008.8</v>
      </c>
      <c r="AB616" s="106">
        <f t="shared" si="368"/>
        <v>100</v>
      </c>
      <c r="AC616" s="98">
        <f t="shared" si="357"/>
        <v>75129.119999999995</v>
      </c>
      <c r="AD616" s="145" t="s">
        <v>71</v>
      </c>
      <c r="AE616" s="146">
        <v>7416</v>
      </c>
      <c r="AF616" s="146"/>
      <c r="AG616" s="124">
        <v>12.78</v>
      </c>
      <c r="AH616" s="98">
        <f t="shared" si="358"/>
        <v>94776.48</v>
      </c>
      <c r="AI616" s="147">
        <f t="shared" si="359"/>
        <v>169905.6</v>
      </c>
    </row>
    <row r="617" spans="1:35" ht="30" customHeight="1" x14ac:dyDescent="0.15">
      <c r="A617" s="232" t="s">
        <v>78</v>
      </c>
      <c r="B617" s="233">
        <f t="shared" si="360"/>
        <v>44</v>
      </c>
      <c r="C617" s="234">
        <f t="shared" si="361"/>
        <v>1296</v>
      </c>
      <c r="D617" s="235">
        <f t="shared" si="362"/>
        <v>100</v>
      </c>
      <c r="E617" s="228">
        <f t="shared" si="351"/>
        <v>48470.400000000001</v>
      </c>
      <c r="F617" s="229" t="s">
        <v>71</v>
      </c>
      <c r="G617" s="230">
        <v>6182</v>
      </c>
      <c r="H617" s="230"/>
      <c r="I617" s="234">
        <f>I616</f>
        <v>18.29</v>
      </c>
      <c r="J617" s="228">
        <f t="shared" si="352"/>
        <v>113068.78</v>
      </c>
      <c r="K617" s="231">
        <f t="shared" si="353"/>
        <v>161539.18</v>
      </c>
      <c r="L617" s="2"/>
      <c r="M617" s="148" t="s">
        <v>78</v>
      </c>
      <c r="N617" s="149">
        <f t="shared" si="363"/>
        <v>44</v>
      </c>
      <c r="O617" s="125">
        <f t="shared" si="364"/>
        <v>2008.8</v>
      </c>
      <c r="P617" s="106">
        <f t="shared" si="365"/>
        <v>100</v>
      </c>
      <c r="Q617" s="98">
        <f t="shared" si="354"/>
        <v>75129.119999999995</v>
      </c>
      <c r="R617" s="145" t="s">
        <v>71</v>
      </c>
      <c r="S617" s="146">
        <v>6182</v>
      </c>
      <c r="T617" s="146"/>
      <c r="U617" s="125">
        <f>U616</f>
        <v>12.78</v>
      </c>
      <c r="V617" s="98">
        <f t="shared" si="355"/>
        <v>79005.960000000006</v>
      </c>
      <c r="W617" s="147">
        <f t="shared" si="356"/>
        <v>154135.07999999999</v>
      </c>
      <c r="X617" s="2"/>
      <c r="Y617" s="148" t="s">
        <v>78</v>
      </c>
      <c r="Z617" s="149">
        <f t="shared" si="366"/>
        <v>44</v>
      </c>
      <c r="AA617" s="125">
        <f t="shared" si="367"/>
        <v>2008.8</v>
      </c>
      <c r="AB617" s="106">
        <f t="shared" si="368"/>
        <v>100</v>
      </c>
      <c r="AC617" s="98">
        <f t="shared" si="357"/>
        <v>75129.119999999995</v>
      </c>
      <c r="AD617" s="145" t="s">
        <v>71</v>
      </c>
      <c r="AE617" s="146">
        <v>6182</v>
      </c>
      <c r="AF617" s="146"/>
      <c r="AG617" s="125">
        <f>AG616</f>
        <v>12.78</v>
      </c>
      <c r="AH617" s="98">
        <f t="shared" si="358"/>
        <v>79005.960000000006</v>
      </c>
      <c r="AI617" s="147">
        <f t="shared" si="359"/>
        <v>154135.07999999999</v>
      </c>
    </row>
    <row r="618" spans="1:35" ht="30" customHeight="1" x14ac:dyDescent="0.15">
      <c r="A618" s="232" t="s">
        <v>79</v>
      </c>
      <c r="B618" s="233">
        <f t="shared" si="360"/>
        <v>44</v>
      </c>
      <c r="C618" s="234">
        <f t="shared" si="361"/>
        <v>1296</v>
      </c>
      <c r="D618" s="235">
        <f t="shared" si="362"/>
        <v>100</v>
      </c>
      <c r="E618" s="228">
        <f t="shared" si="351"/>
        <v>48470.400000000001</v>
      </c>
      <c r="F618" s="229" t="s">
        <v>71</v>
      </c>
      <c r="G618" s="230">
        <f>4671+1168</f>
        <v>5839</v>
      </c>
      <c r="H618" s="230"/>
      <c r="I618" s="234">
        <f>I617</f>
        <v>18.29</v>
      </c>
      <c r="J618" s="228">
        <f t="shared" si="352"/>
        <v>106795.31</v>
      </c>
      <c r="K618" s="231">
        <f t="shared" si="353"/>
        <v>155265.71</v>
      </c>
      <c r="L618" s="2"/>
      <c r="M618" s="148" t="s">
        <v>79</v>
      </c>
      <c r="N618" s="149">
        <f t="shared" si="363"/>
        <v>44</v>
      </c>
      <c r="O618" s="125">
        <f t="shared" si="364"/>
        <v>2008.8</v>
      </c>
      <c r="P618" s="106">
        <f t="shared" si="365"/>
        <v>100</v>
      </c>
      <c r="Q618" s="98">
        <f t="shared" si="354"/>
        <v>75129.119999999995</v>
      </c>
      <c r="R618" s="145" t="s">
        <v>71</v>
      </c>
      <c r="S618" s="146">
        <f>4671+1168</f>
        <v>5839</v>
      </c>
      <c r="T618" s="146"/>
      <c r="U618" s="125">
        <f>U617</f>
        <v>12.78</v>
      </c>
      <c r="V618" s="98">
        <f t="shared" si="355"/>
        <v>74622.42</v>
      </c>
      <c r="W618" s="147">
        <f t="shared" si="356"/>
        <v>149751.54</v>
      </c>
      <c r="X618" s="2"/>
      <c r="Y618" s="148" t="s">
        <v>79</v>
      </c>
      <c r="Z618" s="149">
        <f t="shared" si="366"/>
        <v>44</v>
      </c>
      <c r="AA618" s="125">
        <f t="shared" si="367"/>
        <v>2008.8</v>
      </c>
      <c r="AB618" s="106">
        <f t="shared" si="368"/>
        <v>100</v>
      </c>
      <c r="AC618" s="98">
        <f t="shared" si="357"/>
        <v>75129.119999999995</v>
      </c>
      <c r="AD618" s="145" t="s">
        <v>71</v>
      </c>
      <c r="AE618" s="146">
        <f>4671+1168</f>
        <v>5839</v>
      </c>
      <c r="AF618" s="146"/>
      <c r="AG618" s="125">
        <f>AG617</f>
        <v>12.78</v>
      </c>
      <c r="AH618" s="98">
        <f t="shared" si="358"/>
        <v>74622.42</v>
      </c>
      <c r="AI618" s="147">
        <f t="shared" si="359"/>
        <v>149751.54</v>
      </c>
    </row>
    <row r="619" spans="1:35" ht="30" customHeight="1" x14ac:dyDescent="0.15">
      <c r="A619" s="232" t="s">
        <v>80</v>
      </c>
      <c r="B619" s="233">
        <f t="shared" si="360"/>
        <v>44</v>
      </c>
      <c r="C619" s="234">
        <f t="shared" si="361"/>
        <v>1296</v>
      </c>
      <c r="D619" s="235">
        <f t="shared" si="362"/>
        <v>100</v>
      </c>
      <c r="E619" s="228">
        <f t="shared" si="351"/>
        <v>48470.400000000001</v>
      </c>
      <c r="F619" s="229" t="s">
        <v>9</v>
      </c>
      <c r="G619" s="230">
        <v>2808</v>
      </c>
      <c r="H619" s="230"/>
      <c r="I619" s="234">
        <f>I610</f>
        <v>16.87</v>
      </c>
      <c r="J619" s="228">
        <f t="shared" si="352"/>
        <v>47370.96</v>
      </c>
      <c r="K619" s="231">
        <f t="shared" si="353"/>
        <v>95841.36</v>
      </c>
      <c r="L619" s="2"/>
      <c r="M619" s="148" t="s">
        <v>80</v>
      </c>
      <c r="N619" s="149">
        <f t="shared" si="363"/>
        <v>44</v>
      </c>
      <c r="O619" s="125">
        <f t="shared" si="364"/>
        <v>2008.8</v>
      </c>
      <c r="P619" s="106">
        <f t="shared" si="365"/>
        <v>100</v>
      </c>
      <c r="Q619" s="98">
        <f t="shared" si="354"/>
        <v>75129.119999999995</v>
      </c>
      <c r="R619" s="145" t="s">
        <v>9</v>
      </c>
      <c r="S619" s="146">
        <v>2808</v>
      </c>
      <c r="T619" s="146"/>
      <c r="U619" s="125">
        <f>U610</f>
        <v>11.87</v>
      </c>
      <c r="V619" s="98">
        <f t="shared" si="355"/>
        <v>33330.959999999999</v>
      </c>
      <c r="W619" s="147">
        <f t="shared" si="356"/>
        <v>108460.08</v>
      </c>
      <c r="X619" s="2"/>
      <c r="Y619" s="148" t="s">
        <v>80</v>
      </c>
      <c r="Z619" s="149">
        <f t="shared" si="366"/>
        <v>44</v>
      </c>
      <c r="AA619" s="125">
        <f t="shared" si="367"/>
        <v>2008.8</v>
      </c>
      <c r="AB619" s="106">
        <f t="shared" si="368"/>
        <v>100</v>
      </c>
      <c r="AC619" s="98">
        <f t="shared" si="357"/>
        <v>75129.119999999995</v>
      </c>
      <c r="AD619" s="145" t="s">
        <v>9</v>
      </c>
      <c r="AE619" s="146">
        <v>2808</v>
      </c>
      <c r="AF619" s="146"/>
      <c r="AG619" s="125">
        <f>AG610</f>
        <v>11.87</v>
      </c>
      <c r="AH619" s="98">
        <f t="shared" si="358"/>
        <v>33330.959999999999</v>
      </c>
      <c r="AI619" s="147">
        <f t="shared" si="359"/>
        <v>108460.08</v>
      </c>
    </row>
    <row r="620" spans="1:35" ht="30" customHeight="1" x14ac:dyDescent="0.15">
      <c r="A620" s="232" t="s">
        <v>81</v>
      </c>
      <c r="B620" s="233">
        <f t="shared" si="360"/>
        <v>44</v>
      </c>
      <c r="C620" s="234">
        <f t="shared" si="361"/>
        <v>1296</v>
      </c>
      <c r="D620" s="235">
        <f t="shared" si="362"/>
        <v>100</v>
      </c>
      <c r="E620" s="228">
        <f t="shared" si="351"/>
        <v>48470.400000000001</v>
      </c>
      <c r="F620" s="229" t="s">
        <v>9</v>
      </c>
      <c r="G620" s="230">
        <v>2278</v>
      </c>
      <c r="H620" s="230"/>
      <c r="I620" s="236">
        <f>I619</f>
        <v>16.87</v>
      </c>
      <c r="J620" s="228">
        <f t="shared" si="352"/>
        <v>38429.86</v>
      </c>
      <c r="K620" s="231">
        <f t="shared" si="353"/>
        <v>86900.26</v>
      </c>
      <c r="L620" s="2"/>
      <c r="M620" s="148" t="s">
        <v>81</v>
      </c>
      <c r="N620" s="149">
        <f t="shared" si="363"/>
        <v>44</v>
      </c>
      <c r="O620" s="125">
        <f t="shared" si="364"/>
        <v>2008.8</v>
      </c>
      <c r="P620" s="106">
        <f t="shared" si="365"/>
        <v>100</v>
      </c>
      <c r="Q620" s="98">
        <f t="shared" si="354"/>
        <v>75129.119999999995</v>
      </c>
      <c r="R620" s="145" t="s">
        <v>9</v>
      </c>
      <c r="S620" s="146">
        <v>2278</v>
      </c>
      <c r="T620" s="146"/>
      <c r="U620" s="127">
        <f>U619</f>
        <v>11.87</v>
      </c>
      <c r="V620" s="98">
        <f t="shared" si="355"/>
        <v>27039.86</v>
      </c>
      <c r="W620" s="147">
        <f t="shared" si="356"/>
        <v>102168.98</v>
      </c>
      <c r="X620" s="2"/>
      <c r="Y620" s="148" t="s">
        <v>81</v>
      </c>
      <c r="Z620" s="149">
        <f t="shared" si="366"/>
        <v>44</v>
      </c>
      <c r="AA620" s="125">
        <f t="shared" si="367"/>
        <v>2008.8</v>
      </c>
      <c r="AB620" s="106">
        <f t="shared" si="368"/>
        <v>100</v>
      </c>
      <c r="AC620" s="98">
        <f t="shared" si="357"/>
        <v>75129.119999999995</v>
      </c>
      <c r="AD620" s="145" t="s">
        <v>9</v>
      </c>
      <c r="AE620" s="146">
        <v>2278</v>
      </c>
      <c r="AF620" s="146"/>
      <c r="AG620" s="127">
        <f>AG619</f>
        <v>11.87</v>
      </c>
      <c r="AH620" s="98">
        <f t="shared" si="358"/>
        <v>27039.86</v>
      </c>
      <c r="AI620" s="147">
        <f t="shared" si="359"/>
        <v>102168.98</v>
      </c>
    </row>
    <row r="621" spans="1:35" ht="30" customHeight="1" thickBot="1" x14ac:dyDescent="0.2">
      <c r="A621" s="237" t="s">
        <v>82</v>
      </c>
      <c r="B621" s="238">
        <f t="shared" si="360"/>
        <v>44</v>
      </c>
      <c r="C621" s="239">
        <f t="shared" si="361"/>
        <v>1296</v>
      </c>
      <c r="D621" s="238">
        <f t="shared" si="362"/>
        <v>100</v>
      </c>
      <c r="E621" s="240">
        <f t="shared" si="351"/>
        <v>48470.400000000001</v>
      </c>
      <c r="F621" s="241" t="s">
        <v>9</v>
      </c>
      <c r="G621" s="242">
        <v>1800</v>
      </c>
      <c r="H621" s="242"/>
      <c r="I621" s="239">
        <f>I620</f>
        <v>16.87</v>
      </c>
      <c r="J621" s="240">
        <f t="shared" si="352"/>
        <v>30366</v>
      </c>
      <c r="K621" s="243">
        <f t="shared" si="353"/>
        <v>78836.399999999994</v>
      </c>
      <c r="L621" s="2"/>
      <c r="M621" s="150" t="s">
        <v>82</v>
      </c>
      <c r="N621" s="151">
        <f t="shared" si="363"/>
        <v>44</v>
      </c>
      <c r="O621" s="126">
        <f t="shared" si="364"/>
        <v>2008.8</v>
      </c>
      <c r="P621" s="152">
        <f t="shared" si="365"/>
        <v>100</v>
      </c>
      <c r="Q621" s="99">
        <f t="shared" si="354"/>
        <v>75129.119999999995</v>
      </c>
      <c r="R621" s="153" t="s">
        <v>9</v>
      </c>
      <c r="S621" s="154">
        <v>1800</v>
      </c>
      <c r="T621" s="154"/>
      <c r="U621" s="126">
        <f>U620</f>
        <v>11.87</v>
      </c>
      <c r="V621" s="99">
        <f t="shared" si="355"/>
        <v>21366</v>
      </c>
      <c r="W621" s="155">
        <f t="shared" si="356"/>
        <v>96495.12</v>
      </c>
      <c r="X621" s="2"/>
      <c r="Y621" s="150" t="s">
        <v>82</v>
      </c>
      <c r="Z621" s="151">
        <f t="shared" si="366"/>
        <v>44</v>
      </c>
      <c r="AA621" s="126">
        <f t="shared" si="367"/>
        <v>2008.8</v>
      </c>
      <c r="AB621" s="152">
        <f t="shared" si="368"/>
        <v>100</v>
      </c>
      <c r="AC621" s="99">
        <f t="shared" si="357"/>
        <v>75129.119999999995</v>
      </c>
      <c r="AD621" s="153" t="s">
        <v>9</v>
      </c>
      <c r="AE621" s="154">
        <v>1800</v>
      </c>
      <c r="AF621" s="154"/>
      <c r="AG621" s="126">
        <f>AG620</f>
        <v>11.87</v>
      </c>
      <c r="AH621" s="99">
        <f t="shared" si="358"/>
        <v>21366</v>
      </c>
      <c r="AI621" s="155">
        <f t="shared" si="359"/>
        <v>96495.12</v>
      </c>
    </row>
    <row r="622" spans="1:35" ht="30" customHeight="1" thickBot="1" x14ac:dyDescent="0.2">
      <c r="A622" s="251" t="s">
        <v>41</v>
      </c>
      <c r="B622" s="245"/>
      <c r="C622" s="245"/>
      <c r="D622" s="245"/>
      <c r="E622" s="246">
        <f>SUM(E610:E621)</f>
        <v>581644.80000000016</v>
      </c>
      <c r="F622" s="247"/>
      <c r="G622" s="248">
        <f>SUM(G610:G621)</f>
        <v>45415</v>
      </c>
      <c r="H622" s="248"/>
      <c r="I622" s="245"/>
      <c r="J622" s="246">
        <f>SUM(J610:J621)</f>
        <v>793751.59</v>
      </c>
      <c r="K622" s="249">
        <f>SUM(K610:K621)</f>
        <v>1375396.3900000001</v>
      </c>
      <c r="L622" s="89" t="s">
        <v>113</v>
      </c>
      <c r="M622" s="164" t="s">
        <v>41</v>
      </c>
      <c r="N622" s="157"/>
      <c r="O622" s="157"/>
      <c r="P622" s="157"/>
      <c r="Q622" s="158">
        <f>SUM(Q610:Q621)</f>
        <v>901549.44</v>
      </c>
      <c r="R622" s="159"/>
      <c r="S622" s="160">
        <f>SUM(S610:S621)</f>
        <v>45415</v>
      </c>
      <c r="T622" s="160"/>
      <c r="U622" s="157"/>
      <c r="V622" s="158">
        <f>SUM(V610:V621)</f>
        <v>556763.72000000009</v>
      </c>
      <c r="W622" s="161">
        <f>SUM(W610:W621)</f>
        <v>1458313.1600000001</v>
      </c>
      <c r="X622" s="89" t="s">
        <v>113</v>
      </c>
      <c r="Y622" s="164" t="s">
        <v>41</v>
      </c>
      <c r="Z622" s="157"/>
      <c r="AA622" s="157"/>
      <c r="AB622" s="157"/>
      <c r="AC622" s="158">
        <f>SUM(AC610:AC621)</f>
        <v>901549.44</v>
      </c>
      <c r="AD622" s="159"/>
      <c r="AE622" s="160">
        <f>SUM(AE610:AE621)</f>
        <v>45415</v>
      </c>
      <c r="AF622" s="160"/>
      <c r="AG622" s="157"/>
      <c r="AH622" s="158">
        <f>SUM(AH610:AH621)</f>
        <v>556763.72000000009</v>
      </c>
      <c r="AI622" s="161">
        <f>SUM(AI610:AI621)</f>
        <v>1458313.1600000001</v>
      </c>
    </row>
    <row r="623" spans="1:35" ht="15" customHeight="1" x14ac:dyDescent="0.15">
      <c r="A623" s="214"/>
      <c r="B623" s="250"/>
      <c r="C623" s="250"/>
      <c r="D623" s="250"/>
      <c r="E623" s="250"/>
      <c r="F623" s="250"/>
      <c r="G623" s="250"/>
      <c r="H623" s="250"/>
      <c r="I623" s="250"/>
      <c r="J623" s="250"/>
      <c r="K623" s="250"/>
      <c r="L623" s="89"/>
      <c r="N623" s="162"/>
      <c r="O623" s="162"/>
      <c r="P623" s="162"/>
      <c r="Q623" s="162"/>
      <c r="R623" s="162"/>
      <c r="S623" s="162"/>
      <c r="T623" s="162"/>
      <c r="U623" s="162"/>
      <c r="V623" s="162"/>
      <c r="W623" s="162"/>
      <c r="X623" s="89"/>
      <c r="Z623" s="162"/>
      <c r="AA623" s="162"/>
      <c r="AB623" s="162"/>
      <c r="AC623" s="162"/>
      <c r="AD623" s="162"/>
      <c r="AE623" s="162"/>
      <c r="AF623" s="162"/>
      <c r="AG623" s="162"/>
      <c r="AH623" s="162"/>
      <c r="AI623" s="162"/>
    </row>
    <row r="624" spans="1:35" x14ac:dyDescent="0.15">
      <c r="A624" s="5" t="s">
        <v>153</v>
      </c>
      <c r="B624" s="31">
        <f>B599+1</f>
        <v>23</v>
      </c>
      <c r="K624" s="551" t="str">
        <f>IF(K647-W647&lt;=0,"現状のまま","メニュー変更")</f>
        <v>メニュー変更</v>
      </c>
      <c r="L624" s="2"/>
      <c r="M624" s="255" t="s">
        <v>153</v>
      </c>
      <c r="N624" s="256">
        <f>N599+1</f>
        <v>23</v>
      </c>
      <c r="O624" s="257"/>
      <c r="P624" s="257"/>
      <c r="Q624" s="257"/>
      <c r="R624" s="257"/>
      <c r="S624" s="257"/>
      <c r="T624" s="257"/>
      <c r="U624" s="257"/>
      <c r="V624" s="257"/>
      <c r="W624" s="257"/>
      <c r="X624" s="2"/>
      <c r="Y624" s="47" t="s">
        <v>153</v>
      </c>
      <c r="Z624" s="62" t="e">
        <f>Z599+1</f>
        <v>#REF!</v>
      </c>
    </row>
    <row r="625" spans="1:35" x14ac:dyDescent="0.15">
      <c r="K625" s="551"/>
      <c r="L625" s="2"/>
      <c r="M625" s="258"/>
      <c r="N625" s="257"/>
      <c r="O625" s="257"/>
      <c r="P625" s="257"/>
      <c r="Q625" s="257"/>
      <c r="R625" s="257"/>
      <c r="S625" s="257"/>
      <c r="T625" s="257"/>
      <c r="U625" s="257"/>
      <c r="V625" s="257"/>
      <c r="W625" s="257"/>
      <c r="X625" s="2"/>
    </row>
    <row r="626" spans="1:35" x14ac:dyDescent="0.15">
      <c r="K626" s="551"/>
      <c r="L626" s="2"/>
      <c r="M626" s="258"/>
      <c r="N626" s="257"/>
      <c r="O626" s="257"/>
      <c r="P626" s="257"/>
      <c r="Q626" s="257"/>
      <c r="R626" s="257"/>
      <c r="S626" s="257"/>
      <c r="T626" s="257"/>
      <c r="U626" s="257"/>
      <c r="V626" s="257"/>
      <c r="W626" s="257"/>
      <c r="X626" s="2"/>
    </row>
    <row r="627" spans="1:35" ht="17.25" x14ac:dyDescent="0.15">
      <c r="A627" s="552" t="str">
        <f>$A$5</f>
        <v>平成29年度小郡市役所庁舎外25施設電力需給</v>
      </c>
      <c r="B627" s="552"/>
      <c r="C627" s="552"/>
      <c r="D627" s="552"/>
      <c r="E627" s="552"/>
      <c r="F627" s="552"/>
      <c r="G627" s="552"/>
      <c r="H627" s="552"/>
      <c r="I627" s="552"/>
      <c r="J627" s="552"/>
      <c r="K627" s="552"/>
      <c r="L627" s="2"/>
      <c r="M627" s="721" t="str">
        <f>$A$5</f>
        <v>平成29年度小郡市役所庁舎外25施設電力需給</v>
      </c>
      <c r="N627" s="721"/>
      <c r="O627" s="721"/>
      <c r="P627" s="721"/>
      <c r="Q627" s="721"/>
      <c r="R627" s="721"/>
      <c r="S627" s="721"/>
      <c r="T627" s="721"/>
      <c r="U627" s="721"/>
      <c r="V627" s="721"/>
      <c r="W627" s="721"/>
      <c r="X627" s="2"/>
      <c r="Y627" s="553" t="str">
        <f>$A$5</f>
        <v>平成29年度小郡市役所庁舎外25施設電力需給</v>
      </c>
      <c r="Z627" s="553"/>
      <c r="AA627" s="553"/>
      <c r="AB627" s="553"/>
      <c r="AC627" s="553"/>
      <c r="AD627" s="553"/>
      <c r="AE627" s="553"/>
      <c r="AF627" s="553"/>
      <c r="AG627" s="553"/>
      <c r="AH627" s="553"/>
      <c r="AI627" s="553"/>
    </row>
    <row r="628" spans="1:35" x14ac:dyDescent="0.15">
      <c r="A628" s="554" t="str">
        <f>$A$6</f>
        <v>（平成３０年１月～平成３０年１２月期間中の予定金額）</v>
      </c>
      <c r="B628" s="554"/>
      <c r="C628" s="554"/>
      <c r="D628" s="554"/>
      <c r="E628" s="554"/>
      <c r="F628" s="554"/>
      <c r="G628" s="554"/>
      <c r="H628" s="554"/>
      <c r="I628" s="554"/>
      <c r="J628" s="554"/>
      <c r="K628" s="554"/>
      <c r="L628" s="2"/>
      <c r="M628" s="722" t="str">
        <f>$A$6</f>
        <v>（平成３０年１月～平成３０年１２月期間中の予定金額）</v>
      </c>
      <c r="N628" s="722"/>
      <c r="O628" s="722"/>
      <c r="P628" s="722"/>
      <c r="Q628" s="722"/>
      <c r="R628" s="722"/>
      <c r="S628" s="722"/>
      <c r="T628" s="722"/>
      <c r="U628" s="722"/>
      <c r="V628" s="722"/>
      <c r="W628" s="722"/>
      <c r="X628" s="2"/>
      <c r="Y628" s="555" t="str">
        <f>$A$6</f>
        <v>（平成３０年１月～平成３０年１２月期間中の予定金額）</v>
      </c>
      <c r="Z628" s="555"/>
      <c r="AA628" s="555"/>
      <c r="AB628" s="555"/>
      <c r="AC628" s="555"/>
      <c r="AD628" s="555"/>
      <c r="AE628" s="555"/>
      <c r="AF628" s="555"/>
      <c r="AG628" s="555"/>
      <c r="AH628" s="555"/>
      <c r="AI628" s="555"/>
    </row>
    <row r="629" spans="1:35" ht="14.25" thickBot="1" x14ac:dyDescent="0.2">
      <c r="A629" s="104" t="s">
        <v>125</v>
      </c>
      <c r="K629" s="5" t="s">
        <v>70</v>
      </c>
      <c r="L629" s="2"/>
      <c r="M629" s="326" t="s">
        <v>125</v>
      </c>
      <c r="N629" s="257"/>
      <c r="O629" s="257"/>
      <c r="P629" s="257"/>
      <c r="Q629" s="257"/>
      <c r="R629" s="257"/>
      <c r="S629" s="257"/>
      <c r="T629" s="257"/>
      <c r="U629" s="257"/>
      <c r="V629" s="257"/>
      <c r="W629" s="255" t="s">
        <v>84</v>
      </c>
      <c r="X629" s="2"/>
      <c r="Y629" s="209" t="s">
        <v>125</v>
      </c>
      <c r="AI629" s="47" t="s">
        <v>84</v>
      </c>
    </row>
    <row r="630" spans="1:35" ht="18" customHeight="1" thickBot="1" x14ac:dyDescent="0.2">
      <c r="A630" s="556" t="s">
        <v>33</v>
      </c>
      <c r="B630" s="559" t="s">
        <v>24</v>
      </c>
      <c r="C630" s="560"/>
      <c r="D630" s="560"/>
      <c r="E630" s="561"/>
      <c r="F630" s="562" t="s">
        <v>34</v>
      </c>
      <c r="G630" s="563"/>
      <c r="H630" s="563"/>
      <c r="I630" s="563"/>
      <c r="J630" s="564"/>
      <c r="K630" s="565" t="s">
        <v>35</v>
      </c>
      <c r="L630" s="2"/>
      <c r="M630" s="723" t="s">
        <v>33</v>
      </c>
      <c r="N630" s="726" t="s">
        <v>24</v>
      </c>
      <c r="O630" s="727"/>
      <c r="P630" s="727"/>
      <c r="Q630" s="728"/>
      <c r="R630" s="729" t="s">
        <v>34</v>
      </c>
      <c r="S630" s="730"/>
      <c r="T630" s="730"/>
      <c r="U630" s="730"/>
      <c r="V630" s="731"/>
      <c r="W630" s="732" t="s">
        <v>35</v>
      </c>
      <c r="X630" s="2"/>
      <c r="Y630" s="567" t="s">
        <v>33</v>
      </c>
      <c r="Z630" s="570" t="s">
        <v>24</v>
      </c>
      <c r="AA630" s="571"/>
      <c r="AB630" s="571"/>
      <c r="AC630" s="572"/>
      <c r="AD630" s="573" t="s">
        <v>34</v>
      </c>
      <c r="AE630" s="574"/>
      <c r="AF630" s="574"/>
      <c r="AG630" s="574"/>
      <c r="AH630" s="575"/>
      <c r="AI630" s="544" t="s">
        <v>35</v>
      </c>
    </row>
    <row r="631" spans="1:35" ht="13.5" customHeight="1" x14ac:dyDescent="0.15">
      <c r="A631" s="557"/>
      <c r="B631" s="576" t="s">
        <v>28</v>
      </c>
      <c r="C631" s="565" t="s">
        <v>29</v>
      </c>
      <c r="D631" s="576" t="s">
        <v>25</v>
      </c>
      <c r="E631" s="577" t="s">
        <v>31</v>
      </c>
      <c r="F631" s="578" t="s">
        <v>36</v>
      </c>
      <c r="G631" s="579"/>
      <c r="H631" s="119"/>
      <c r="I631" s="565" t="s">
        <v>37</v>
      </c>
      <c r="J631" s="576" t="s">
        <v>38</v>
      </c>
      <c r="K631" s="566"/>
      <c r="L631" s="2"/>
      <c r="M631" s="724"/>
      <c r="N631" s="718" t="s">
        <v>28</v>
      </c>
      <c r="O631" s="732" t="s">
        <v>29</v>
      </c>
      <c r="P631" s="718" t="s">
        <v>25</v>
      </c>
      <c r="Q631" s="738" t="s">
        <v>31</v>
      </c>
      <c r="R631" s="734" t="s">
        <v>36</v>
      </c>
      <c r="S631" s="735"/>
      <c r="T631" s="260"/>
      <c r="U631" s="732" t="s">
        <v>37</v>
      </c>
      <c r="V631" s="718" t="s">
        <v>38</v>
      </c>
      <c r="W631" s="733"/>
      <c r="X631" s="2"/>
      <c r="Y631" s="568"/>
      <c r="Z631" s="546" t="s">
        <v>28</v>
      </c>
      <c r="AA631" s="544" t="s">
        <v>29</v>
      </c>
      <c r="AB631" s="546" t="s">
        <v>25</v>
      </c>
      <c r="AC631" s="582" t="s">
        <v>31</v>
      </c>
      <c r="AD631" s="540" t="s">
        <v>36</v>
      </c>
      <c r="AE631" s="541"/>
      <c r="AF631" s="135"/>
      <c r="AG631" s="544" t="s">
        <v>37</v>
      </c>
      <c r="AH631" s="546" t="s">
        <v>38</v>
      </c>
      <c r="AI631" s="545"/>
    </row>
    <row r="632" spans="1:35" x14ac:dyDescent="0.15">
      <c r="A632" s="557"/>
      <c r="B632" s="576"/>
      <c r="C632" s="566"/>
      <c r="D632" s="576"/>
      <c r="E632" s="576"/>
      <c r="F632" s="580"/>
      <c r="G632" s="581"/>
      <c r="H632" s="120"/>
      <c r="I632" s="566"/>
      <c r="J632" s="576"/>
      <c r="K632" s="566"/>
      <c r="L632" s="2"/>
      <c r="M632" s="724"/>
      <c r="N632" s="718"/>
      <c r="O632" s="733"/>
      <c r="P632" s="718"/>
      <c r="Q632" s="718"/>
      <c r="R632" s="736"/>
      <c r="S632" s="737"/>
      <c r="T632" s="261"/>
      <c r="U632" s="733"/>
      <c r="V632" s="718"/>
      <c r="W632" s="733"/>
      <c r="X632" s="2"/>
      <c r="Y632" s="568"/>
      <c r="Z632" s="546"/>
      <c r="AA632" s="545"/>
      <c r="AB632" s="546"/>
      <c r="AC632" s="546"/>
      <c r="AD632" s="542"/>
      <c r="AE632" s="543"/>
      <c r="AF632" s="136"/>
      <c r="AG632" s="545"/>
      <c r="AH632" s="546"/>
      <c r="AI632" s="545"/>
    </row>
    <row r="633" spans="1:35" ht="23.25" customHeight="1" x14ac:dyDescent="0.15">
      <c r="A633" s="557"/>
      <c r="B633" s="74" t="s">
        <v>13</v>
      </c>
      <c r="C633" s="75" t="s">
        <v>30</v>
      </c>
      <c r="D633" s="74" t="s">
        <v>14</v>
      </c>
      <c r="E633" s="74" t="s">
        <v>40</v>
      </c>
      <c r="F633" s="547" t="s">
        <v>15</v>
      </c>
      <c r="G633" s="548"/>
      <c r="H633" s="121"/>
      <c r="I633" s="75" t="s">
        <v>30</v>
      </c>
      <c r="J633" s="74" t="s">
        <v>40</v>
      </c>
      <c r="K633" s="74" t="s">
        <v>40</v>
      </c>
      <c r="L633" s="2"/>
      <c r="M633" s="724"/>
      <c r="N633" s="262" t="s">
        <v>152</v>
      </c>
      <c r="O633" s="263" t="s">
        <v>30</v>
      </c>
      <c r="P633" s="262" t="s">
        <v>14</v>
      </c>
      <c r="Q633" s="262" t="s">
        <v>40</v>
      </c>
      <c r="R633" s="719" t="s">
        <v>15</v>
      </c>
      <c r="S633" s="720"/>
      <c r="T633" s="264"/>
      <c r="U633" s="263" t="s">
        <v>30</v>
      </c>
      <c r="V633" s="262" t="s">
        <v>40</v>
      </c>
      <c r="W633" s="262" t="s">
        <v>40</v>
      </c>
      <c r="X633" s="2"/>
      <c r="Y633" s="568"/>
      <c r="Z633" s="137" t="s">
        <v>152</v>
      </c>
      <c r="AA633" s="138" t="s">
        <v>30</v>
      </c>
      <c r="AB633" s="137" t="s">
        <v>14</v>
      </c>
      <c r="AC633" s="137" t="s">
        <v>40</v>
      </c>
      <c r="AD633" s="549" t="s">
        <v>15</v>
      </c>
      <c r="AE633" s="550"/>
      <c r="AF633" s="139"/>
      <c r="AG633" s="138" t="s">
        <v>30</v>
      </c>
      <c r="AH633" s="137" t="s">
        <v>40</v>
      </c>
      <c r="AI633" s="137" t="s">
        <v>40</v>
      </c>
    </row>
    <row r="634" spans="1:35" ht="15.75" customHeight="1" thickBot="1" x14ac:dyDescent="0.2">
      <c r="A634" s="558"/>
      <c r="B634" s="76" t="s">
        <v>16</v>
      </c>
      <c r="C634" s="76" t="s">
        <v>17</v>
      </c>
      <c r="D634" s="76" t="s">
        <v>18</v>
      </c>
      <c r="E634" s="76" t="s">
        <v>19</v>
      </c>
      <c r="F634" s="77"/>
      <c r="G634" s="78" t="s">
        <v>20</v>
      </c>
      <c r="H634" s="78"/>
      <c r="I634" s="76" t="s">
        <v>21</v>
      </c>
      <c r="J634" s="76" t="s">
        <v>22</v>
      </c>
      <c r="K634" s="78" t="s">
        <v>23</v>
      </c>
      <c r="L634" s="2"/>
      <c r="M634" s="725"/>
      <c r="N634" s="265" t="s">
        <v>16</v>
      </c>
      <c r="O634" s="265" t="s">
        <v>17</v>
      </c>
      <c r="P634" s="265" t="s">
        <v>18</v>
      </c>
      <c r="Q634" s="265" t="s">
        <v>19</v>
      </c>
      <c r="R634" s="266"/>
      <c r="S634" s="267" t="s">
        <v>20</v>
      </c>
      <c r="T634" s="267"/>
      <c r="U634" s="265" t="s">
        <v>21</v>
      </c>
      <c r="V634" s="265" t="s">
        <v>22</v>
      </c>
      <c r="W634" s="267" t="s">
        <v>23</v>
      </c>
      <c r="X634" s="2"/>
      <c r="Y634" s="569"/>
      <c r="Z634" s="122" t="s">
        <v>16</v>
      </c>
      <c r="AA634" s="122" t="s">
        <v>17</v>
      </c>
      <c r="AB634" s="122" t="s">
        <v>18</v>
      </c>
      <c r="AC634" s="122" t="s">
        <v>19</v>
      </c>
      <c r="AD634" s="140"/>
      <c r="AE634" s="141" t="s">
        <v>20</v>
      </c>
      <c r="AF634" s="141"/>
      <c r="AG634" s="122" t="s">
        <v>21</v>
      </c>
      <c r="AH634" s="122" t="s">
        <v>22</v>
      </c>
      <c r="AI634" s="141" t="s">
        <v>23</v>
      </c>
    </row>
    <row r="635" spans="1:35" ht="30" customHeight="1" x14ac:dyDescent="0.15">
      <c r="A635" s="107" t="s">
        <v>83</v>
      </c>
      <c r="B635" s="112">
        <v>73</v>
      </c>
      <c r="C635" s="113">
        <v>2008.8</v>
      </c>
      <c r="D635" s="117">
        <v>100</v>
      </c>
      <c r="E635" s="79">
        <f t="shared" ref="E635:E646" si="369">ROUNDDOWN(B635*C635*((185-D635)/100),2)</f>
        <v>124646.04</v>
      </c>
      <c r="F635" s="80" t="s">
        <v>85</v>
      </c>
      <c r="G635" s="81">
        <v>9527</v>
      </c>
      <c r="H635" s="81"/>
      <c r="I635" s="116">
        <v>11.87</v>
      </c>
      <c r="J635" s="79">
        <f t="shared" ref="J635:J646" si="370">ROUNDDOWN(G635*I635,2)</f>
        <v>113085.49</v>
      </c>
      <c r="K635" s="82">
        <f t="shared" ref="K635:K646" si="371">ROUNDDOWN(J635+E635,2)</f>
        <v>237731.53</v>
      </c>
      <c r="L635" s="2"/>
      <c r="M635" s="268" t="s">
        <v>83</v>
      </c>
      <c r="N635" s="269">
        <v>73</v>
      </c>
      <c r="O635" s="270">
        <v>1296</v>
      </c>
      <c r="P635" s="269">
        <v>100</v>
      </c>
      <c r="Q635" s="271">
        <f t="shared" ref="Q635:Q646" si="372">ROUNDDOWN(N635*O635*((185-P635)/100),2)</f>
        <v>80416.800000000003</v>
      </c>
      <c r="R635" s="279" t="s">
        <v>85</v>
      </c>
      <c r="S635" s="273">
        <v>9527</v>
      </c>
      <c r="T635" s="273"/>
      <c r="U635" s="270">
        <v>16.87</v>
      </c>
      <c r="V635" s="271">
        <f t="shared" ref="V635:V646" si="373">ROUNDDOWN(S635*U635,2)</f>
        <v>160720.49</v>
      </c>
      <c r="W635" s="274">
        <f t="shared" ref="W635:W646" si="374">ROUNDDOWN(V635+Q635,2)</f>
        <v>241137.29</v>
      </c>
      <c r="X635" s="2"/>
      <c r="Y635" s="142" t="s">
        <v>83</v>
      </c>
      <c r="Z635" s="143">
        <v>73</v>
      </c>
      <c r="AA635" s="123">
        <v>1296</v>
      </c>
      <c r="AB635" s="163">
        <v>100</v>
      </c>
      <c r="AC635" s="98">
        <f t="shared" ref="AC635:AC646" si="375">ROUNDDOWN(Z635*AA635*((185-AB635)/100),2)</f>
        <v>80416.800000000003</v>
      </c>
      <c r="AD635" s="145" t="s">
        <v>85</v>
      </c>
      <c r="AE635" s="146">
        <v>9527</v>
      </c>
      <c r="AF635" s="146"/>
      <c r="AG635" s="124">
        <v>16.87</v>
      </c>
      <c r="AH635" s="98">
        <f t="shared" ref="AH635:AH646" si="376">ROUNDDOWN(AE635*AG635,2)</f>
        <v>160720.49</v>
      </c>
      <c r="AI635" s="147">
        <f t="shared" ref="AI635:AI646" si="377">ROUNDDOWN(AH635+AC635,2)</f>
        <v>241137.29</v>
      </c>
    </row>
    <row r="636" spans="1:35" ht="30" customHeight="1" x14ac:dyDescent="0.15">
      <c r="A636" s="105" t="s">
        <v>72</v>
      </c>
      <c r="B636" s="108">
        <f t="shared" ref="B636:B646" si="378">B635</f>
        <v>73</v>
      </c>
      <c r="C636" s="109">
        <f t="shared" ref="C636:C646" si="379">C635</f>
        <v>2008.8</v>
      </c>
      <c r="D636" s="114">
        <f t="shared" ref="D636:D646" si="380">D635</f>
        <v>100</v>
      </c>
      <c r="E636" s="79">
        <f t="shared" si="369"/>
        <v>124646.04</v>
      </c>
      <c r="F636" s="80" t="s">
        <v>112</v>
      </c>
      <c r="G636" s="81">
        <v>8873</v>
      </c>
      <c r="H636" s="81"/>
      <c r="I636" s="109">
        <f>I635</f>
        <v>11.87</v>
      </c>
      <c r="J636" s="79">
        <f t="shared" si="370"/>
        <v>105322.51</v>
      </c>
      <c r="K636" s="82">
        <f t="shared" si="371"/>
        <v>229968.55</v>
      </c>
      <c r="L636" s="2"/>
      <c r="M636" s="275" t="s">
        <v>72</v>
      </c>
      <c r="N636" s="276">
        <f t="shared" ref="N636:N646" si="381">N635</f>
        <v>73</v>
      </c>
      <c r="O636" s="277">
        <f t="shared" ref="O636:O646" si="382">O635</f>
        <v>1296</v>
      </c>
      <c r="P636" s="278">
        <f t="shared" ref="P636:P646" si="383">P635</f>
        <v>100</v>
      </c>
      <c r="Q636" s="271">
        <f t="shared" si="372"/>
        <v>80416.800000000003</v>
      </c>
      <c r="R636" s="279" t="s">
        <v>112</v>
      </c>
      <c r="S636" s="273">
        <v>8873</v>
      </c>
      <c r="T636" s="273"/>
      <c r="U636" s="277">
        <f>U635</f>
        <v>16.87</v>
      </c>
      <c r="V636" s="271">
        <f t="shared" si="373"/>
        <v>149687.51</v>
      </c>
      <c r="W636" s="274">
        <f t="shared" si="374"/>
        <v>230104.31</v>
      </c>
      <c r="X636" s="2"/>
      <c r="Y636" s="148" t="s">
        <v>72</v>
      </c>
      <c r="Z636" s="149">
        <f t="shared" ref="Z636:Z646" si="384">Z635</f>
        <v>73</v>
      </c>
      <c r="AA636" s="125">
        <f t="shared" ref="AA636:AA646" si="385">AA635</f>
        <v>1296</v>
      </c>
      <c r="AB636" s="106">
        <f t="shared" ref="AB636:AB646" si="386">AB635</f>
        <v>100</v>
      </c>
      <c r="AC636" s="98">
        <f t="shared" si="375"/>
        <v>80416.800000000003</v>
      </c>
      <c r="AD636" s="145" t="s">
        <v>112</v>
      </c>
      <c r="AE636" s="146">
        <v>8873</v>
      </c>
      <c r="AF636" s="146"/>
      <c r="AG636" s="125">
        <f>AG635</f>
        <v>16.87</v>
      </c>
      <c r="AH636" s="98">
        <f t="shared" si="376"/>
        <v>149687.51</v>
      </c>
      <c r="AI636" s="147">
        <f t="shared" si="377"/>
        <v>230104.31</v>
      </c>
    </row>
    <row r="637" spans="1:35" ht="30" customHeight="1" x14ac:dyDescent="0.15">
      <c r="A637" s="105" t="s">
        <v>73</v>
      </c>
      <c r="B637" s="108">
        <f t="shared" si="378"/>
        <v>73</v>
      </c>
      <c r="C637" s="109">
        <f t="shared" si="379"/>
        <v>2008.8</v>
      </c>
      <c r="D637" s="114">
        <f t="shared" si="380"/>
        <v>100</v>
      </c>
      <c r="E637" s="79">
        <f t="shared" si="369"/>
        <v>124646.04</v>
      </c>
      <c r="F637" s="80" t="s">
        <v>9</v>
      </c>
      <c r="G637" s="81">
        <v>7926</v>
      </c>
      <c r="H637" s="81"/>
      <c r="I637" s="109">
        <f>I636</f>
        <v>11.87</v>
      </c>
      <c r="J637" s="79">
        <f t="shared" si="370"/>
        <v>94081.62</v>
      </c>
      <c r="K637" s="82">
        <f t="shared" si="371"/>
        <v>218727.66</v>
      </c>
      <c r="L637" s="2"/>
      <c r="M637" s="275" t="s">
        <v>73</v>
      </c>
      <c r="N637" s="276">
        <f t="shared" si="381"/>
        <v>73</v>
      </c>
      <c r="O637" s="277">
        <f t="shared" si="382"/>
        <v>1296</v>
      </c>
      <c r="P637" s="278">
        <f t="shared" si="383"/>
        <v>100</v>
      </c>
      <c r="Q637" s="271">
        <f t="shared" si="372"/>
        <v>80416.800000000003</v>
      </c>
      <c r="R637" s="279" t="s">
        <v>9</v>
      </c>
      <c r="S637" s="273">
        <v>7926</v>
      </c>
      <c r="T637" s="273"/>
      <c r="U637" s="277">
        <f>U636</f>
        <v>16.87</v>
      </c>
      <c r="V637" s="271">
        <f t="shared" si="373"/>
        <v>133711.62</v>
      </c>
      <c r="W637" s="274">
        <f t="shared" si="374"/>
        <v>214128.42</v>
      </c>
      <c r="X637" s="2"/>
      <c r="Y637" s="148" t="s">
        <v>73</v>
      </c>
      <c r="Z637" s="149">
        <f t="shared" si="384"/>
        <v>73</v>
      </c>
      <c r="AA637" s="125">
        <f t="shared" si="385"/>
        <v>1296</v>
      </c>
      <c r="AB637" s="106">
        <f t="shared" si="386"/>
        <v>100</v>
      </c>
      <c r="AC637" s="98">
        <f t="shared" si="375"/>
        <v>80416.800000000003</v>
      </c>
      <c r="AD637" s="145" t="s">
        <v>9</v>
      </c>
      <c r="AE637" s="146">
        <v>7926</v>
      </c>
      <c r="AF637" s="146"/>
      <c r="AG637" s="125">
        <f>AG636</f>
        <v>16.87</v>
      </c>
      <c r="AH637" s="98">
        <f t="shared" si="376"/>
        <v>133711.62</v>
      </c>
      <c r="AI637" s="147">
        <f t="shared" si="377"/>
        <v>214128.42</v>
      </c>
    </row>
    <row r="638" spans="1:35" ht="30" customHeight="1" x14ac:dyDescent="0.15">
      <c r="A638" s="105" t="s">
        <v>74</v>
      </c>
      <c r="B638" s="108">
        <f t="shared" si="378"/>
        <v>73</v>
      </c>
      <c r="C638" s="109">
        <f t="shared" si="379"/>
        <v>2008.8</v>
      </c>
      <c r="D638" s="114">
        <f t="shared" si="380"/>
        <v>100</v>
      </c>
      <c r="E638" s="79">
        <f t="shared" si="369"/>
        <v>124646.04</v>
      </c>
      <c r="F638" s="80" t="s">
        <v>9</v>
      </c>
      <c r="G638" s="81">
        <v>4106</v>
      </c>
      <c r="H638" s="81"/>
      <c r="I638" s="109">
        <f>I637</f>
        <v>11.87</v>
      </c>
      <c r="J638" s="79">
        <f t="shared" si="370"/>
        <v>48738.22</v>
      </c>
      <c r="K638" s="82">
        <f t="shared" si="371"/>
        <v>173384.26</v>
      </c>
      <c r="L638" s="2"/>
      <c r="M638" s="275" t="s">
        <v>74</v>
      </c>
      <c r="N638" s="276">
        <f t="shared" si="381"/>
        <v>73</v>
      </c>
      <c r="O638" s="277">
        <f t="shared" si="382"/>
        <v>1296</v>
      </c>
      <c r="P638" s="278">
        <f t="shared" si="383"/>
        <v>100</v>
      </c>
      <c r="Q638" s="271">
        <f t="shared" si="372"/>
        <v>80416.800000000003</v>
      </c>
      <c r="R638" s="279" t="s">
        <v>9</v>
      </c>
      <c r="S638" s="273">
        <v>4106</v>
      </c>
      <c r="T638" s="273"/>
      <c r="U638" s="277">
        <f>U637</f>
        <v>16.87</v>
      </c>
      <c r="V638" s="271">
        <f t="shared" si="373"/>
        <v>69268.22</v>
      </c>
      <c r="W638" s="274">
        <f t="shared" si="374"/>
        <v>149685.01999999999</v>
      </c>
      <c r="X638" s="2"/>
      <c r="Y638" s="148" t="s">
        <v>74</v>
      </c>
      <c r="Z638" s="149">
        <f t="shared" si="384"/>
        <v>73</v>
      </c>
      <c r="AA638" s="125">
        <f t="shared" si="385"/>
        <v>1296</v>
      </c>
      <c r="AB638" s="106">
        <f t="shared" si="386"/>
        <v>100</v>
      </c>
      <c r="AC638" s="98">
        <f t="shared" si="375"/>
        <v>80416.800000000003</v>
      </c>
      <c r="AD638" s="145" t="s">
        <v>9</v>
      </c>
      <c r="AE638" s="146">
        <v>4106</v>
      </c>
      <c r="AF638" s="146"/>
      <c r="AG638" s="125">
        <f>AG637</f>
        <v>16.87</v>
      </c>
      <c r="AH638" s="98">
        <f t="shared" si="376"/>
        <v>69268.22</v>
      </c>
      <c r="AI638" s="147">
        <f t="shared" si="377"/>
        <v>149685.01999999999</v>
      </c>
    </row>
    <row r="639" spans="1:35" ht="30" customHeight="1" x14ac:dyDescent="0.15">
      <c r="A639" s="105" t="s">
        <v>75</v>
      </c>
      <c r="B639" s="108">
        <f t="shared" si="378"/>
        <v>73</v>
      </c>
      <c r="C639" s="109">
        <f t="shared" si="379"/>
        <v>2008.8</v>
      </c>
      <c r="D639" s="114">
        <f t="shared" si="380"/>
        <v>100</v>
      </c>
      <c r="E639" s="79">
        <f t="shared" si="369"/>
        <v>124646.04</v>
      </c>
      <c r="F639" s="80" t="s">
        <v>9</v>
      </c>
      <c r="G639" s="81">
        <v>4978</v>
      </c>
      <c r="H639" s="81"/>
      <c r="I639" s="109">
        <f>I638</f>
        <v>11.87</v>
      </c>
      <c r="J639" s="79">
        <f t="shared" si="370"/>
        <v>59088.86</v>
      </c>
      <c r="K639" s="82">
        <f t="shared" si="371"/>
        <v>183734.9</v>
      </c>
      <c r="L639" s="2"/>
      <c r="M639" s="275" t="s">
        <v>75</v>
      </c>
      <c r="N639" s="276">
        <f t="shared" si="381"/>
        <v>73</v>
      </c>
      <c r="O639" s="277">
        <f t="shared" si="382"/>
        <v>1296</v>
      </c>
      <c r="P639" s="278">
        <f t="shared" si="383"/>
        <v>100</v>
      </c>
      <c r="Q639" s="271">
        <f t="shared" si="372"/>
        <v>80416.800000000003</v>
      </c>
      <c r="R639" s="279" t="s">
        <v>9</v>
      </c>
      <c r="S639" s="273">
        <v>4978</v>
      </c>
      <c r="T639" s="273"/>
      <c r="U639" s="277">
        <f>U638</f>
        <v>16.87</v>
      </c>
      <c r="V639" s="271">
        <f t="shared" si="373"/>
        <v>83978.86</v>
      </c>
      <c r="W639" s="274">
        <f t="shared" si="374"/>
        <v>164395.66</v>
      </c>
      <c r="X639" s="2"/>
      <c r="Y639" s="148" t="s">
        <v>75</v>
      </c>
      <c r="Z639" s="149">
        <f t="shared" si="384"/>
        <v>73</v>
      </c>
      <c r="AA639" s="125">
        <f t="shared" si="385"/>
        <v>1296</v>
      </c>
      <c r="AB639" s="106">
        <f t="shared" si="386"/>
        <v>100</v>
      </c>
      <c r="AC639" s="98">
        <f t="shared" si="375"/>
        <v>80416.800000000003</v>
      </c>
      <c r="AD639" s="145" t="s">
        <v>9</v>
      </c>
      <c r="AE639" s="146">
        <v>4978</v>
      </c>
      <c r="AF639" s="146"/>
      <c r="AG639" s="125">
        <f>AG638</f>
        <v>16.87</v>
      </c>
      <c r="AH639" s="98">
        <f t="shared" si="376"/>
        <v>83978.86</v>
      </c>
      <c r="AI639" s="147">
        <f t="shared" si="377"/>
        <v>164395.66</v>
      </c>
    </row>
    <row r="640" spans="1:35" ht="30" customHeight="1" x14ac:dyDescent="0.15">
      <c r="A640" s="105" t="s">
        <v>76</v>
      </c>
      <c r="B640" s="108">
        <f t="shared" si="378"/>
        <v>73</v>
      </c>
      <c r="C640" s="109">
        <f t="shared" si="379"/>
        <v>2008.8</v>
      </c>
      <c r="D640" s="114">
        <f t="shared" si="380"/>
        <v>100</v>
      </c>
      <c r="E640" s="79">
        <f t="shared" si="369"/>
        <v>124646.04</v>
      </c>
      <c r="F640" s="80" t="s">
        <v>9</v>
      </c>
      <c r="G640" s="81">
        <v>7368</v>
      </c>
      <c r="H640" s="81"/>
      <c r="I640" s="109">
        <f>I639</f>
        <v>11.87</v>
      </c>
      <c r="J640" s="79">
        <f t="shared" si="370"/>
        <v>87458.16</v>
      </c>
      <c r="K640" s="82">
        <f t="shared" si="371"/>
        <v>212104.2</v>
      </c>
      <c r="L640" s="2"/>
      <c r="M640" s="275" t="s">
        <v>76</v>
      </c>
      <c r="N640" s="276">
        <f t="shared" si="381"/>
        <v>73</v>
      </c>
      <c r="O640" s="277">
        <f t="shared" si="382"/>
        <v>1296</v>
      </c>
      <c r="P640" s="278">
        <f t="shared" si="383"/>
        <v>100</v>
      </c>
      <c r="Q640" s="271">
        <f t="shared" si="372"/>
        <v>80416.800000000003</v>
      </c>
      <c r="R640" s="279" t="s">
        <v>9</v>
      </c>
      <c r="S640" s="273">
        <v>7368</v>
      </c>
      <c r="T640" s="273"/>
      <c r="U640" s="277">
        <f>U639</f>
        <v>16.87</v>
      </c>
      <c r="V640" s="271">
        <f t="shared" si="373"/>
        <v>124298.16</v>
      </c>
      <c r="W640" s="274">
        <f t="shared" si="374"/>
        <v>204714.96</v>
      </c>
      <c r="X640" s="2"/>
      <c r="Y640" s="148" t="s">
        <v>76</v>
      </c>
      <c r="Z640" s="149">
        <f t="shared" si="384"/>
        <v>73</v>
      </c>
      <c r="AA640" s="125">
        <f t="shared" si="385"/>
        <v>1296</v>
      </c>
      <c r="AB640" s="106">
        <f t="shared" si="386"/>
        <v>100</v>
      </c>
      <c r="AC640" s="98">
        <f t="shared" si="375"/>
        <v>80416.800000000003</v>
      </c>
      <c r="AD640" s="145" t="s">
        <v>9</v>
      </c>
      <c r="AE640" s="146">
        <v>7368</v>
      </c>
      <c r="AF640" s="146"/>
      <c r="AG640" s="125">
        <f>AG639</f>
        <v>16.87</v>
      </c>
      <c r="AH640" s="98">
        <f t="shared" si="376"/>
        <v>124298.16</v>
      </c>
      <c r="AI640" s="147">
        <f t="shared" si="377"/>
        <v>204714.96</v>
      </c>
    </row>
    <row r="641" spans="1:35" ht="30" customHeight="1" x14ac:dyDescent="0.15">
      <c r="A641" s="105" t="s">
        <v>77</v>
      </c>
      <c r="B641" s="108">
        <f t="shared" si="378"/>
        <v>73</v>
      </c>
      <c r="C641" s="109">
        <f t="shared" si="379"/>
        <v>2008.8</v>
      </c>
      <c r="D641" s="114">
        <f t="shared" si="380"/>
        <v>100</v>
      </c>
      <c r="E641" s="79">
        <f t="shared" si="369"/>
        <v>124646.04</v>
      </c>
      <c r="F641" s="80" t="s">
        <v>71</v>
      </c>
      <c r="G641" s="81">
        <v>10188</v>
      </c>
      <c r="H641" s="81"/>
      <c r="I641" s="116">
        <v>12.78</v>
      </c>
      <c r="J641" s="79">
        <f t="shared" si="370"/>
        <v>130202.64</v>
      </c>
      <c r="K641" s="82">
        <f t="shared" si="371"/>
        <v>254848.68</v>
      </c>
      <c r="L641" s="2"/>
      <c r="M641" s="275" t="s">
        <v>77</v>
      </c>
      <c r="N641" s="276">
        <f t="shared" si="381"/>
        <v>73</v>
      </c>
      <c r="O641" s="277">
        <f t="shared" si="382"/>
        <v>1296</v>
      </c>
      <c r="P641" s="278">
        <f t="shared" si="383"/>
        <v>100</v>
      </c>
      <c r="Q641" s="271">
        <f t="shared" si="372"/>
        <v>80416.800000000003</v>
      </c>
      <c r="R641" s="279" t="s">
        <v>71</v>
      </c>
      <c r="S641" s="273">
        <v>10188</v>
      </c>
      <c r="T641" s="273"/>
      <c r="U641" s="270">
        <v>18.29</v>
      </c>
      <c r="V641" s="271">
        <f t="shared" si="373"/>
        <v>186338.52</v>
      </c>
      <c r="W641" s="274">
        <f t="shared" si="374"/>
        <v>266755.32</v>
      </c>
      <c r="X641" s="2"/>
      <c r="Y641" s="148" t="s">
        <v>77</v>
      </c>
      <c r="Z641" s="149">
        <f t="shared" si="384"/>
        <v>73</v>
      </c>
      <c r="AA641" s="125">
        <f t="shared" si="385"/>
        <v>1296</v>
      </c>
      <c r="AB641" s="106">
        <f t="shared" si="386"/>
        <v>100</v>
      </c>
      <c r="AC641" s="98">
        <f t="shared" si="375"/>
        <v>80416.800000000003</v>
      </c>
      <c r="AD641" s="145" t="s">
        <v>71</v>
      </c>
      <c r="AE641" s="146">
        <v>10188</v>
      </c>
      <c r="AF641" s="146"/>
      <c r="AG641" s="124">
        <v>18.29</v>
      </c>
      <c r="AH641" s="98">
        <f t="shared" si="376"/>
        <v>186338.52</v>
      </c>
      <c r="AI641" s="147">
        <f t="shared" si="377"/>
        <v>266755.32</v>
      </c>
    </row>
    <row r="642" spans="1:35" ht="30" customHeight="1" x14ac:dyDescent="0.15">
      <c r="A642" s="105" t="s">
        <v>78</v>
      </c>
      <c r="B642" s="108">
        <f t="shared" si="378"/>
        <v>73</v>
      </c>
      <c r="C642" s="109">
        <f t="shared" si="379"/>
        <v>2008.8</v>
      </c>
      <c r="D642" s="114">
        <f t="shared" si="380"/>
        <v>100</v>
      </c>
      <c r="E642" s="79">
        <f t="shared" si="369"/>
        <v>124646.04</v>
      </c>
      <c r="F642" s="80" t="s">
        <v>71</v>
      </c>
      <c r="G642" s="81">
        <v>9641</v>
      </c>
      <c r="H642" s="81"/>
      <c r="I642" s="109">
        <f>I641</f>
        <v>12.78</v>
      </c>
      <c r="J642" s="79">
        <f t="shared" si="370"/>
        <v>123211.98</v>
      </c>
      <c r="K642" s="82">
        <f t="shared" si="371"/>
        <v>247858.02</v>
      </c>
      <c r="L642" s="2"/>
      <c r="M642" s="275" t="s">
        <v>78</v>
      </c>
      <c r="N642" s="276">
        <f t="shared" si="381"/>
        <v>73</v>
      </c>
      <c r="O642" s="277">
        <f t="shared" si="382"/>
        <v>1296</v>
      </c>
      <c r="P642" s="278">
        <f t="shared" si="383"/>
        <v>100</v>
      </c>
      <c r="Q642" s="271">
        <f t="shared" si="372"/>
        <v>80416.800000000003</v>
      </c>
      <c r="R642" s="279" t="s">
        <v>71</v>
      </c>
      <c r="S642" s="273">
        <v>9641</v>
      </c>
      <c r="T642" s="273"/>
      <c r="U642" s="277">
        <f>U641</f>
        <v>18.29</v>
      </c>
      <c r="V642" s="271">
        <f t="shared" si="373"/>
        <v>176333.89</v>
      </c>
      <c r="W642" s="274">
        <f t="shared" si="374"/>
        <v>256750.69</v>
      </c>
      <c r="X642" s="2"/>
      <c r="Y642" s="148" t="s">
        <v>78</v>
      </c>
      <c r="Z642" s="149">
        <f t="shared" si="384"/>
        <v>73</v>
      </c>
      <c r="AA642" s="125">
        <f t="shared" si="385"/>
        <v>1296</v>
      </c>
      <c r="AB642" s="106">
        <f t="shared" si="386"/>
        <v>100</v>
      </c>
      <c r="AC642" s="98">
        <f t="shared" si="375"/>
        <v>80416.800000000003</v>
      </c>
      <c r="AD642" s="145" t="s">
        <v>71</v>
      </c>
      <c r="AE642" s="146">
        <v>9641</v>
      </c>
      <c r="AF642" s="146"/>
      <c r="AG642" s="125">
        <f>AG641</f>
        <v>18.29</v>
      </c>
      <c r="AH642" s="98">
        <f t="shared" si="376"/>
        <v>176333.89</v>
      </c>
      <c r="AI642" s="147">
        <f t="shared" si="377"/>
        <v>256750.69</v>
      </c>
    </row>
    <row r="643" spans="1:35" ht="30" customHeight="1" x14ac:dyDescent="0.15">
      <c r="A643" s="105" t="s">
        <v>79</v>
      </c>
      <c r="B643" s="108">
        <f t="shared" si="378"/>
        <v>73</v>
      </c>
      <c r="C643" s="109">
        <f t="shared" si="379"/>
        <v>2008.8</v>
      </c>
      <c r="D643" s="114">
        <f t="shared" si="380"/>
        <v>100</v>
      </c>
      <c r="E643" s="79">
        <f t="shared" si="369"/>
        <v>124646.04</v>
      </c>
      <c r="F643" s="80" t="s">
        <v>71</v>
      </c>
      <c r="G643" s="81">
        <f>6014+1503</f>
        <v>7517</v>
      </c>
      <c r="H643" s="81"/>
      <c r="I643" s="109">
        <f>I642</f>
        <v>12.78</v>
      </c>
      <c r="J643" s="79">
        <f t="shared" si="370"/>
        <v>96067.26</v>
      </c>
      <c r="K643" s="82">
        <f t="shared" si="371"/>
        <v>220713.3</v>
      </c>
      <c r="L643" s="2"/>
      <c r="M643" s="275" t="s">
        <v>79</v>
      </c>
      <c r="N643" s="276">
        <f t="shared" si="381"/>
        <v>73</v>
      </c>
      <c r="O643" s="277">
        <f t="shared" si="382"/>
        <v>1296</v>
      </c>
      <c r="P643" s="278">
        <f t="shared" si="383"/>
        <v>100</v>
      </c>
      <c r="Q643" s="271">
        <f t="shared" si="372"/>
        <v>80416.800000000003</v>
      </c>
      <c r="R643" s="279" t="s">
        <v>71</v>
      </c>
      <c r="S643" s="273">
        <f>6014+1503</f>
        <v>7517</v>
      </c>
      <c r="T643" s="273"/>
      <c r="U643" s="277">
        <f>U642</f>
        <v>18.29</v>
      </c>
      <c r="V643" s="271">
        <f t="shared" si="373"/>
        <v>137485.93</v>
      </c>
      <c r="W643" s="274">
        <f t="shared" si="374"/>
        <v>217902.73</v>
      </c>
      <c r="X643" s="2"/>
      <c r="Y643" s="148" t="s">
        <v>79</v>
      </c>
      <c r="Z643" s="149">
        <f t="shared" si="384"/>
        <v>73</v>
      </c>
      <c r="AA643" s="125">
        <f t="shared" si="385"/>
        <v>1296</v>
      </c>
      <c r="AB643" s="106">
        <f t="shared" si="386"/>
        <v>100</v>
      </c>
      <c r="AC643" s="98">
        <f t="shared" si="375"/>
        <v>80416.800000000003</v>
      </c>
      <c r="AD643" s="145" t="s">
        <v>71</v>
      </c>
      <c r="AE643" s="146">
        <f>6014+1503</f>
        <v>7517</v>
      </c>
      <c r="AF643" s="146"/>
      <c r="AG643" s="125">
        <f>AG642</f>
        <v>18.29</v>
      </c>
      <c r="AH643" s="98">
        <f t="shared" si="376"/>
        <v>137485.93</v>
      </c>
      <c r="AI643" s="147">
        <f t="shared" si="377"/>
        <v>217902.73</v>
      </c>
    </row>
    <row r="644" spans="1:35" ht="30" customHeight="1" x14ac:dyDescent="0.15">
      <c r="A644" s="105" t="s">
        <v>80</v>
      </c>
      <c r="B644" s="108">
        <f t="shared" si="378"/>
        <v>73</v>
      </c>
      <c r="C644" s="109">
        <f t="shared" si="379"/>
        <v>2008.8</v>
      </c>
      <c r="D644" s="114">
        <f t="shared" si="380"/>
        <v>100</v>
      </c>
      <c r="E644" s="79">
        <f t="shared" si="369"/>
        <v>124646.04</v>
      </c>
      <c r="F644" s="80" t="s">
        <v>9</v>
      </c>
      <c r="G644" s="81">
        <v>4932</v>
      </c>
      <c r="H644" s="81"/>
      <c r="I644" s="109">
        <f>I635</f>
        <v>11.87</v>
      </c>
      <c r="J644" s="79">
        <f t="shared" si="370"/>
        <v>58542.84</v>
      </c>
      <c r="K644" s="82">
        <f t="shared" si="371"/>
        <v>183188.88</v>
      </c>
      <c r="L644" s="2"/>
      <c r="M644" s="275" t="s">
        <v>80</v>
      </c>
      <c r="N644" s="276">
        <f t="shared" si="381"/>
        <v>73</v>
      </c>
      <c r="O644" s="277">
        <f t="shared" si="382"/>
        <v>1296</v>
      </c>
      <c r="P644" s="278">
        <f t="shared" si="383"/>
        <v>100</v>
      </c>
      <c r="Q644" s="271">
        <f t="shared" si="372"/>
        <v>80416.800000000003</v>
      </c>
      <c r="R644" s="279" t="s">
        <v>9</v>
      </c>
      <c r="S644" s="273">
        <v>4932</v>
      </c>
      <c r="T644" s="273"/>
      <c r="U644" s="277">
        <f>U635</f>
        <v>16.87</v>
      </c>
      <c r="V644" s="271">
        <f t="shared" si="373"/>
        <v>83202.84</v>
      </c>
      <c r="W644" s="274">
        <f t="shared" si="374"/>
        <v>163619.64000000001</v>
      </c>
      <c r="X644" s="2"/>
      <c r="Y644" s="148" t="s">
        <v>80</v>
      </c>
      <c r="Z644" s="149">
        <f t="shared" si="384"/>
        <v>73</v>
      </c>
      <c r="AA644" s="125">
        <f t="shared" si="385"/>
        <v>1296</v>
      </c>
      <c r="AB644" s="106">
        <f t="shared" si="386"/>
        <v>100</v>
      </c>
      <c r="AC644" s="98">
        <f t="shared" si="375"/>
        <v>80416.800000000003</v>
      </c>
      <c r="AD644" s="145" t="s">
        <v>9</v>
      </c>
      <c r="AE644" s="146">
        <v>4932</v>
      </c>
      <c r="AF644" s="146"/>
      <c r="AG644" s="125">
        <f>AG635</f>
        <v>16.87</v>
      </c>
      <c r="AH644" s="98">
        <f t="shared" si="376"/>
        <v>83202.84</v>
      </c>
      <c r="AI644" s="147">
        <f t="shared" si="377"/>
        <v>163619.64000000001</v>
      </c>
    </row>
    <row r="645" spans="1:35" ht="30" customHeight="1" x14ac:dyDescent="0.15">
      <c r="A645" s="105" t="s">
        <v>81</v>
      </c>
      <c r="B645" s="108">
        <f t="shared" si="378"/>
        <v>73</v>
      </c>
      <c r="C645" s="109">
        <f t="shared" si="379"/>
        <v>2008.8</v>
      </c>
      <c r="D645" s="114">
        <f t="shared" si="380"/>
        <v>100</v>
      </c>
      <c r="E645" s="79">
        <f t="shared" si="369"/>
        <v>124646.04</v>
      </c>
      <c r="F645" s="80" t="s">
        <v>9</v>
      </c>
      <c r="G645" s="81">
        <v>6108</v>
      </c>
      <c r="H645" s="81"/>
      <c r="I645" s="118">
        <f>I644</f>
        <v>11.87</v>
      </c>
      <c r="J645" s="79">
        <f t="shared" si="370"/>
        <v>72501.960000000006</v>
      </c>
      <c r="K645" s="82">
        <f t="shared" si="371"/>
        <v>197148</v>
      </c>
      <c r="L645" s="2"/>
      <c r="M645" s="275" t="s">
        <v>81</v>
      </c>
      <c r="N645" s="276">
        <f t="shared" si="381"/>
        <v>73</v>
      </c>
      <c r="O645" s="277">
        <f t="shared" si="382"/>
        <v>1296</v>
      </c>
      <c r="P645" s="278">
        <f t="shared" si="383"/>
        <v>100</v>
      </c>
      <c r="Q645" s="271">
        <f t="shared" si="372"/>
        <v>80416.800000000003</v>
      </c>
      <c r="R645" s="279" t="s">
        <v>9</v>
      </c>
      <c r="S645" s="273">
        <v>6108</v>
      </c>
      <c r="T645" s="273"/>
      <c r="U645" s="280">
        <f>U644</f>
        <v>16.87</v>
      </c>
      <c r="V645" s="271">
        <f t="shared" si="373"/>
        <v>103041.96</v>
      </c>
      <c r="W645" s="274">
        <f t="shared" si="374"/>
        <v>183458.76</v>
      </c>
      <c r="X645" s="2"/>
      <c r="Y645" s="148" t="s">
        <v>81</v>
      </c>
      <c r="Z645" s="149">
        <f t="shared" si="384"/>
        <v>73</v>
      </c>
      <c r="AA645" s="125">
        <f t="shared" si="385"/>
        <v>1296</v>
      </c>
      <c r="AB645" s="106">
        <f t="shared" si="386"/>
        <v>100</v>
      </c>
      <c r="AC645" s="98">
        <f t="shared" si="375"/>
        <v>80416.800000000003</v>
      </c>
      <c r="AD645" s="145" t="s">
        <v>9</v>
      </c>
      <c r="AE645" s="146">
        <v>6108</v>
      </c>
      <c r="AF645" s="146"/>
      <c r="AG645" s="127">
        <f>AG644</f>
        <v>16.87</v>
      </c>
      <c r="AH645" s="98">
        <f t="shared" si="376"/>
        <v>103041.96</v>
      </c>
      <c r="AI645" s="147">
        <f t="shared" si="377"/>
        <v>183458.76</v>
      </c>
    </row>
    <row r="646" spans="1:35" ht="30" customHeight="1" thickBot="1" x14ac:dyDescent="0.2">
      <c r="A646" s="84" t="s">
        <v>82</v>
      </c>
      <c r="B646" s="110">
        <f t="shared" si="378"/>
        <v>73</v>
      </c>
      <c r="C646" s="111">
        <f t="shared" si="379"/>
        <v>2008.8</v>
      </c>
      <c r="D646" s="115">
        <f t="shared" si="380"/>
        <v>100</v>
      </c>
      <c r="E646" s="85">
        <f t="shared" si="369"/>
        <v>124646.04</v>
      </c>
      <c r="F646" s="86" t="s">
        <v>9</v>
      </c>
      <c r="G646" s="87">
        <v>5808</v>
      </c>
      <c r="H646" s="87"/>
      <c r="I646" s="111">
        <f>I645</f>
        <v>11.87</v>
      </c>
      <c r="J646" s="85">
        <f t="shared" si="370"/>
        <v>68940.960000000006</v>
      </c>
      <c r="K646" s="88">
        <f t="shared" si="371"/>
        <v>193587</v>
      </c>
      <c r="L646" s="2"/>
      <c r="M646" s="281" t="s">
        <v>82</v>
      </c>
      <c r="N646" s="282">
        <f t="shared" si="381"/>
        <v>73</v>
      </c>
      <c r="O646" s="283">
        <f t="shared" si="382"/>
        <v>1296</v>
      </c>
      <c r="P646" s="282">
        <f t="shared" si="383"/>
        <v>100</v>
      </c>
      <c r="Q646" s="284">
        <f t="shared" si="372"/>
        <v>80416.800000000003</v>
      </c>
      <c r="R646" s="285" t="s">
        <v>9</v>
      </c>
      <c r="S646" s="286">
        <v>5808</v>
      </c>
      <c r="T646" s="286"/>
      <c r="U646" s="283">
        <f>U645</f>
        <v>16.87</v>
      </c>
      <c r="V646" s="284">
        <f t="shared" si="373"/>
        <v>97980.96</v>
      </c>
      <c r="W646" s="287">
        <f t="shared" si="374"/>
        <v>178397.76</v>
      </c>
      <c r="X646" s="2"/>
      <c r="Y646" s="150" t="s">
        <v>82</v>
      </c>
      <c r="Z646" s="151">
        <f t="shared" si="384"/>
        <v>73</v>
      </c>
      <c r="AA646" s="126">
        <f t="shared" si="385"/>
        <v>1296</v>
      </c>
      <c r="AB646" s="152">
        <f t="shared" si="386"/>
        <v>100</v>
      </c>
      <c r="AC646" s="99">
        <f t="shared" si="375"/>
        <v>80416.800000000003</v>
      </c>
      <c r="AD646" s="153" t="s">
        <v>9</v>
      </c>
      <c r="AE646" s="154">
        <v>5808</v>
      </c>
      <c r="AF646" s="154"/>
      <c r="AG646" s="126">
        <f>AG645</f>
        <v>16.87</v>
      </c>
      <c r="AH646" s="99">
        <f t="shared" si="376"/>
        <v>97980.96</v>
      </c>
      <c r="AI646" s="155">
        <f t="shared" si="377"/>
        <v>178397.76</v>
      </c>
    </row>
    <row r="647" spans="1:35" ht="30" customHeight="1" thickBot="1" x14ac:dyDescent="0.2">
      <c r="A647" s="90" t="s">
        <v>41</v>
      </c>
      <c r="B647" s="91"/>
      <c r="C647" s="91"/>
      <c r="D647" s="91"/>
      <c r="E647" s="92">
        <f>SUM(E635:E646)</f>
        <v>1495752.4800000002</v>
      </c>
      <c r="F647" s="93"/>
      <c r="G647" s="94">
        <f>SUM(G635:G646)</f>
        <v>86972</v>
      </c>
      <c r="H647" s="94"/>
      <c r="I647" s="91"/>
      <c r="J647" s="92">
        <f>SUM(J635:J646)</f>
        <v>1057242.5</v>
      </c>
      <c r="K647" s="95">
        <f>SUM(K635:K646)</f>
        <v>2552994.98</v>
      </c>
      <c r="L647" s="89" t="s">
        <v>113</v>
      </c>
      <c r="M647" s="288" t="s">
        <v>41</v>
      </c>
      <c r="N647" s="289"/>
      <c r="O647" s="289"/>
      <c r="P647" s="289"/>
      <c r="Q647" s="290">
        <f>SUM(Q635:Q646)</f>
        <v>965001.60000000021</v>
      </c>
      <c r="R647" s="291"/>
      <c r="S647" s="292">
        <f>SUM(S635:S646)</f>
        <v>86972</v>
      </c>
      <c r="T647" s="292"/>
      <c r="U647" s="289"/>
      <c r="V647" s="290">
        <f>SUM(V635:V646)</f>
        <v>1506048.96</v>
      </c>
      <c r="W647" s="293">
        <f>SUM(W635:W646)</f>
        <v>2471050.5599999996</v>
      </c>
      <c r="X647" s="89" t="s">
        <v>113</v>
      </c>
      <c r="Y647" s="164" t="s">
        <v>41</v>
      </c>
      <c r="Z647" s="157"/>
      <c r="AA647" s="157"/>
      <c r="AB647" s="157"/>
      <c r="AC647" s="158">
        <f>SUM(AC635:AC646)</f>
        <v>965001.60000000021</v>
      </c>
      <c r="AD647" s="159"/>
      <c r="AE647" s="160">
        <f>SUM(AE635:AE646)</f>
        <v>86972</v>
      </c>
      <c r="AF647" s="160"/>
      <c r="AG647" s="157"/>
      <c r="AH647" s="158">
        <f>SUM(AH635:AH646)</f>
        <v>1506048.96</v>
      </c>
      <c r="AI647" s="161">
        <f>SUM(AI635:AI646)</f>
        <v>2471050.5599999996</v>
      </c>
    </row>
    <row r="648" spans="1:35" ht="15" customHeight="1" x14ac:dyDescent="0.15">
      <c r="B648" s="4"/>
      <c r="C648" s="4"/>
      <c r="D648" s="4"/>
      <c r="E648" s="4"/>
      <c r="F648" s="4"/>
      <c r="G648" s="4"/>
      <c r="H648" s="4"/>
      <c r="I648" s="4"/>
      <c r="J648" s="4"/>
      <c r="K648" s="4"/>
      <c r="L648" s="89"/>
      <c r="M648" s="258"/>
      <c r="N648" s="294"/>
      <c r="O648" s="294"/>
      <c r="P648" s="294"/>
      <c r="Q648" s="294"/>
      <c r="R648" s="294"/>
      <c r="S648" s="294"/>
      <c r="T648" s="294"/>
      <c r="U648" s="294"/>
      <c r="V648" s="294"/>
      <c r="W648" s="294"/>
      <c r="X648" s="89"/>
      <c r="Z648" s="162"/>
      <c r="AA648" s="162"/>
      <c r="AB648" s="162"/>
      <c r="AC648" s="162"/>
      <c r="AD648" s="162"/>
      <c r="AE648" s="162"/>
      <c r="AF648" s="162"/>
      <c r="AG648" s="162"/>
      <c r="AH648" s="162"/>
      <c r="AI648" s="162"/>
    </row>
    <row r="649" spans="1:35" x14ac:dyDescent="0.15">
      <c r="A649" s="211" t="s">
        <v>153</v>
      </c>
      <c r="B649" s="212">
        <f>B624+1</f>
        <v>24</v>
      </c>
      <c r="C649" s="213"/>
      <c r="D649" s="213"/>
      <c r="E649" s="213"/>
      <c r="F649" s="213"/>
      <c r="G649" s="213"/>
      <c r="H649" s="213"/>
      <c r="I649" s="213"/>
      <c r="J649" s="213"/>
      <c r="K649" s="692" t="str">
        <f>IF(K672-W672&lt;=0,"現状のまま","メニュー変更")</f>
        <v>現状のまま</v>
      </c>
      <c r="L649" s="2"/>
      <c r="M649" s="47" t="s">
        <v>153</v>
      </c>
      <c r="N649" s="62">
        <f>N624+1</f>
        <v>24</v>
      </c>
      <c r="X649" s="2"/>
      <c r="Y649" s="47" t="s">
        <v>153</v>
      </c>
      <c r="Z649" s="62" t="e">
        <f>Z624+1</f>
        <v>#REF!</v>
      </c>
    </row>
    <row r="650" spans="1:35" x14ac:dyDescent="0.15">
      <c r="A650" s="214"/>
      <c r="B650" s="213"/>
      <c r="C650" s="213"/>
      <c r="D650" s="213"/>
      <c r="E650" s="213"/>
      <c r="F650" s="213"/>
      <c r="G650" s="213"/>
      <c r="H650" s="213"/>
      <c r="I650" s="213"/>
      <c r="J650" s="213"/>
      <c r="K650" s="692"/>
      <c r="L650" s="2"/>
      <c r="X650" s="2"/>
    </row>
    <row r="651" spans="1:35" x14ac:dyDescent="0.15">
      <c r="A651" s="214"/>
      <c r="B651" s="213"/>
      <c r="C651" s="213"/>
      <c r="D651" s="213"/>
      <c r="E651" s="213"/>
      <c r="F651" s="213"/>
      <c r="G651" s="213"/>
      <c r="H651" s="213"/>
      <c r="I651" s="213"/>
      <c r="J651" s="213"/>
      <c r="K651" s="692"/>
      <c r="L651" s="2"/>
      <c r="X651" s="2"/>
    </row>
    <row r="652" spans="1:35" ht="17.25" x14ac:dyDescent="0.15">
      <c r="A652" s="694" t="str">
        <f>$A$5</f>
        <v>平成29年度小郡市役所庁舎外25施設電力需給</v>
      </c>
      <c r="B652" s="694"/>
      <c r="C652" s="694"/>
      <c r="D652" s="694"/>
      <c r="E652" s="694"/>
      <c r="F652" s="694"/>
      <c r="G652" s="694"/>
      <c r="H652" s="694"/>
      <c r="I652" s="694"/>
      <c r="J652" s="694"/>
      <c r="K652" s="694"/>
      <c r="L652" s="2"/>
      <c r="M652" s="553" t="str">
        <f>$A$5</f>
        <v>平成29年度小郡市役所庁舎外25施設電力需給</v>
      </c>
      <c r="N652" s="553"/>
      <c r="O652" s="553"/>
      <c r="P652" s="553"/>
      <c r="Q652" s="553"/>
      <c r="R652" s="553"/>
      <c r="S652" s="553"/>
      <c r="T652" s="553"/>
      <c r="U652" s="553"/>
      <c r="V652" s="553"/>
      <c r="W652" s="553"/>
      <c r="X652" s="2"/>
      <c r="Y652" s="553" t="str">
        <f>$A$5</f>
        <v>平成29年度小郡市役所庁舎外25施設電力需給</v>
      </c>
      <c r="Z652" s="553"/>
      <c r="AA652" s="553"/>
      <c r="AB652" s="553"/>
      <c r="AC652" s="553"/>
      <c r="AD652" s="553"/>
      <c r="AE652" s="553"/>
      <c r="AF652" s="553"/>
      <c r="AG652" s="553"/>
      <c r="AH652" s="553"/>
      <c r="AI652" s="553"/>
    </row>
    <row r="653" spans="1:35" x14ac:dyDescent="0.15">
      <c r="A653" s="689" t="str">
        <f>$A$6</f>
        <v>（平成３０年１月～平成３０年１２月期間中の予定金額）</v>
      </c>
      <c r="B653" s="689"/>
      <c r="C653" s="689"/>
      <c r="D653" s="689"/>
      <c r="E653" s="689"/>
      <c r="F653" s="689"/>
      <c r="G653" s="689"/>
      <c r="H653" s="689"/>
      <c r="I653" s="689"/>
      <c r="J653" s="689"/>
      <c r="K653" s="689"/>
      <c r="L653" s="2"/>
      <c r="M653" s="555" t="str">
        <f>$A$6</f>
        <v>（平成３０年１月～平成３０年１２月期間中の予定金額）</v>
      </c>
      <c r="N653" s="555"/>
      <c r="O653" s="555"/>
      <c r="P653" s="555"/>
      <c r="Q653" s="555"/>
      <c r="R653" s="555"/>
      <c r="S653" s="555"/>
      <c r="T653" s="555"/>
      <c r="U653" s="555"/>
      <c r="V653" s="555"/>
      <c r="W653" s="555"/>
      <c r="X653" s="2"/>
      <c r="Y653" s="555" t="str">
        <f>$A$6</f>
        <v>（平成３０年１月～平成３０年１２月期間中の予定金額）</v>
      </c>
      <c r="Z653" s="555"/>
      <c r="AA653" s="555"/>
      <c r="AB653" s="555"/>
      <c r="AC653" s="555"/>
      <c r="AD653" s="555"/>
      <c r="AE653" s="555"/>
      <c r="AF653" s="555"/>
      <c r="AG653" s="555"/>
      <c r="AH653" s="555"/>
      <c r="AI653" s="555"/>
    </row>
    <row r="654" spans="1:35" ht="14.25" thickBot="1" x14ac:dyDescent="0.2">
      <c r="A654" s="252" t="s">
        <v>126</v>
      </c>
      <c r="B654" s="213"/>
      <c r="C654" s="213"/>
      <c r="D654" s="213"/>
      <c r="E654" s="213"/>
      <c r="F654" s="213"/>
      <c r="G654" s="213"/>
      <c r="H654" s="213"/>
      <c r="I654" s="213"/>
      <c r="J654" s="213"/>
      <c r="K654" s="211" t="s">
        <v>70</v>
      </c>
      <c r="L654" s="2"/>
      <c r="M654" s="209" t="s">
        <v>126</v>
      </c>
      <c r="W654" s="47" t="s">
        <v>84</v>
      </c>
      <c r="X654" s="2"/>
      <c r="Y654" s="209" t="s">
        <v>126</v>
      </c>
      <c r="AI654" s="47" t="s">
        <v>84</v>
      </c>
    </row>
    <row r="655" spans="1:35" ht="18" customHeight="1" thickBot="1" x14ac:dyDescent="0.2">
      <c r="A655" s="695" t="s">
        <v>33</v>
      </c>
      <c r="B655" s="683" t="s">
        <v>24</v>
      </c>
      <c r="C655" s="684"/>
      <c r="D655" s="684"/>
      <c r="E655" s="685"/>
      <c r="F655" s="686" t="s">
        <v>34</v>
      </c>
      <c r="G655" s="687"/>
      <c r="H655" s="687"/>
      <c r="I655" s="687"/>
      <c r="J655" s="688"/>
      <c r="K655" s="667" t="s">
        <v>35</v>
      </c>
      <c r="L655" s="2"/>
      <c r="M655" s="567" t="s">
        <v>33</v>
      </c>
      <c r="N655" s="570" t="s">
        <v>24</v>
      </c>
      <c r="O655" s="571"/>
      <c r="P655" s="571"/>
      <c r="Q655" s="572"/>
      <c r="R655" s="573" t="s">
        <v>34</v>
      </c>
      <c r="S655" s="574"/>
      <c r="T655" s="574"/>
      <c r="U655" s="574"/>
      <c r="V655" s="575"/>
      <c r="W655" s="544" t="s">
        <v>35</v>
      </c>
      <c r="X655" s="2"/>
      <c r="Y655" s="567" t="s">
        <v>33</v>
      </c>
      <c r="Z655" s="570" t="s">
        <v>24</v>
      </c>
      <c r="AA655" s="571"/>
      <c r="AB655" s="571"/>
      <c r="AC655" s="572"/>
      <c r="AD655" s="573" t="s">
        <v>34</v>
      </c>
      <c r="AE655" s="574"/>
      <c r="AF655" s="574"/>
      <c r="AG655" s="574"/>
      <c r="AH655" s="575"/>
      <c r="AI655" s="544" t="s">
        <v>35</v>
      </c>
    </row>
    <row r="656" spans="1:35" ht="13.5" customHeight="1" x14ac:dyDescent="0.15">
      <c r="A656" s="696"/>
      <c r="B656" s="669" t="s">
        <v>28</v>
      </c>
      <c r="C656" s="667" t="s">
        <v>29</v>
      </c>
      <c r="D656" s="669" t="s">
        <v>25</v>
      </c>
      <c r="E656" s="678" t="s">
        <v>31</v>
      </c>
      <c r="F656" s="679" t="s">
        <v>36</v>
      </c>
      <c r="G656" s="680"/>
      <c r="H656" s="216"/>
      <c r="I656" s="667" t="s">
        <v>37</v>
      </c>
      <c r="J656" s="669" t="s">
        <v>38</v>
      </c>
      <c r="K656" s="668"/>
      <c r="L656" s="2"/>
      <c r="M656" s="568"/>
      <c r="N656" s="546" t="s">
        <v>28</v>
      </c>
      <c r="O656" s="544" t="s">
        <v>29</v>
      </c>
      <c r="P656" s="546" t="s">
        <v>25</v>
      </c>
      <c r="Q656" s="582" t="s">
        <v>31</v>
      </c>
      <c r="R656" s="540" t="s">
        <v>36</v>
      </c>
      <c r="S656" s="541"/>
      <c r="T656" s="135"/>
      <c r="U656" s="544" t="s">
        <v>37</v>
      </c>
      <c r="V656" s="546" t="s">
        <v>38</v>
      </c>
      <c r="W656" s="545"/>
      <c r="X656" s="2"/>
      <c r="Y656" s="568"/>
      <c r="Z656" s="546" t="s">
        <v>28</v>
      </c>
      <c r="AA656" s="544" t="s">
        <v>29</v>
      </c>
      <c r="AB656" s="546" t="s">
        <v>25</v>
      </c>
      <c r="AC656" s="582" t="s">
        <v>31</v>
      </c>
      <c r="AD656" s="540" t="s">
        <v>36</v>
      </c>
      <c r="AE656" s="541"/>
      <c r="AF656" s="135"/>
      <c r="AG656" s="544" t="s">
        <v>37</v>
      </c>
      <c r="AH656" s="546" t="s">
        <v>38</v>
      </c>
      <c r="AI656" s="545"/>
    </row>
    <row r="657" spans="1:35" x14ac:dyDescent="0.15">
      <c r="A657" s="696"/>
      <c r="B657" s="669"/>
      <c r="C657" s="668"/>
      <c r="D657" s="669"/>
      <c r="E657" s="669"/>
      <c r="F657" s="681"/>
      <c r="G657" s="682"/>
      <c r="H657" s="217"/>
      <c r="I657" s="668"/>
      <c r="J657" s="669"/>
      <c r="K657" s="668"/>
      <c r="L657" s="2"/>
      <c r="M657" s="568"/>
      <c r="N657" s="546"/>
      <c r="O657" s="545"/>
      <c r="P657" s="546"/>
      <c r="Q657" s="546"/>
      <c r="R657" s="542"/>
      <c r="S657" s="543"/>
      <c r="T657" s="136"/>
      <c r="U657" s="545"/>
      <c r="V657" s="546"/>
      <c r="W657" s="545"/>
      <c r="X657" s="2"/>
      <c r="Y657" s="568"/>
      <c r="Z657" s="546"/>
      <c r="AA657" s="545"/>
      <c r="AB657" s="546"/>
      <c r="AC657" s="546"/>
      <c r="AD657" s="542"/>
      <c r="AE657" s="543"/>
      <c r="AF657" s="136"/>
      <c r="AG657" s="545"/>
      <c r="AH657" s="546"/>
      <c r="AI657" s="545"/>
    </row>
    <row r="658" spans="1:35" ht="23.25" customHeight="1" x14ac:dyDescent="0.15">
      <c r="A658" s="696"/>
      <c r="B658" s="218" t="s">
        <v>13</v>
      </c>
      <c r="C658" s="219" t="s">
        <v>30</v>
      </c>
      <c r="D658" s="218" t="s">
        <v>14</v>
      </c>
      <c r="E658" s="218" t="s">
        <v>40</v>
      </c>
      <c r="F658" s="665" t="s">
        <v>15</v>
      </c>
      <c r="G658" s="666"/>
      <c r="H658" s="220"/>
      <c r="I658" s="219" t="s">
        <v>30</v>
      </c>
      <c r="J658" s="218" t="s">
        <v>40</v>
      </c>
      <c r="K658" s="218" t="s">
        <v>40</v>
      </c>
      <c r="L658" s="2"/>
      <c r="M658" s="568"/>
      <c r="N658" s="137" t="s">
        <v>152</v>
      </c>
      <c r="O658" s="138" t="s">
        <v>30</v>
      </c>
      <c r="P658" s="137" t="s">
        <v>14</v>
      </c>
      <c r="Q658" s="137" t="s">
        <v>40</v>
      </c>
      <c r="R658" s="549" t="s">
        <v>15</v>
      </c>
      <c r="S658" s="550"/>
      <c r="T658" s="139"/>
      <c r="U658" s="138" t="s">
        <v>30</v>
      </c>
      <c r="V658" s="137" t="s">
        <v>40</v>
      </c>
      <c r="W658" s="137" t="s">
        <v>40</v>
      </c>
      <c r="X658" s="2"/>
      <c r="Y658" s="568"/>
      <c r="Z658" s="137" t="s">
        <v>152</v>
      </c>
      <c r="AA658" s="138" t="s">
        <v>30</v>
      </c>
      <c r="AB658" s="137" t="s">
        <v>14</v>
      </c>
      <c r="AC658" s="137" t="s">
        <v>40</v>
      </c>
      <c r="AD658" s="549" t="s">
        <v>15</v>
      </c>
      <c r="AE658" s="550"/>
      <c r="AF658" s="139"/>
      <c r="AG658" s="138" t="s">
        <v>30</v>
      </c>
      <c r="AH658" s="137" t="s">
        <v>40</v>
      </c>
      <c r="AI658" s="137" t="s">
        <v>40</v>
      </c>
    </row>
    <row r="659" spans="1:35" ht="15.75" customHeight="1" thickBot="1" x14ac:dyDescent="0.2">
      <c r="A659" s="697"/>
      <c r="B659" s="221" t="s">
        <v>16</v>
      </c>
      <c r="C659" s="221" t="s">
        <v>17</v>
      </c>
      <c r="D659" s="221" t="s">
        <v>18</v>
      </c>
      <c r="E659" s="221" t="s">
        <v>19</v>
      </c>
      <c r="F659" s="222"/>
      <c r="G659" s="223" t="s">
        <v>20</v>
      </c>
      <c r="H659" s="223"/>
      <c r="I659" s="221" t="s">
        <v>21</v>
      </c>
      <c r="J659" s="221" t="s">
        <v>22</v>
      </c>
      <c r="K659" s="223" t="s">
        <v>23</v>
      </c>
      <c r="L659" s="2"/>
      <c r="M659" s="569"/>
      <c r="N659" s="122" t="s">
        <v>16</v>
      </c>
      <c r="O659" s="122" t="s">
        <v>17</v>
      </c>
      <c r="P659" s="122" t="s">
        <v>18</v>
      </c>
      <c r="Q659" s="122" t="s">
        <v>19</v>
      </c>
      <c r="R659" s="140"/>
      <c r="S659" s="141" t="s">
        <v>20</v>
      </c>
      <c r="T659" s="141"/>
      <c r="U659" s="122" t="s">
        <v>21</v>
      </c>
      <c r="V659" s="122" t="s">
        <v>22</v>
      </c>
      <c r="W659" s="141" t="s">
        <v>23</v>
      </c>
      <c r="X659" s="2"/>
      <c r="Y659" s="569"/>
      <c r="Z659" s="122" t="s">
        <v>16</v>
      </c>
      <c r="AA659" s="122" t="s">
        <v>17</v>
      </c>
      <c r="AB659" s="122" t="s">
        <v>18</v>
      </c>
      <c r="AC659" s="122" t="s">
        <v>19</v>
      </c>
      <c r="AD659" s="140"/>
      <c r="AE659" s="141" t="s">
        <v>20</v>
      </c>
      <c r="AF659" s="141"/>
      <c r="AG659" s="122" t="s">
        <v>21</v>
      </c>
      <c r="AH659" s="122" t="s">
        <v>22</v>
      </c>
      <c r="AI659" s="141" t="s">
        <v>23</v>
      </c>
    </row>
    <row r="660" spans="1:35" ht="30" customHeight="1" x14ac:dyDescent="0.15">
      <c r="A660" s="224" t="s">
        <v>83</v>
      </c>
      <c r="B660" s="225">
        <v>86</v>
      </c>
      <c r="C660" s="226">
        <v>2008.8</v>
      </c>
      <c r="D660" s="225">
        <v>100</v>
      </c>
      <c r="E660" s="228">
        <f t="shared" ref="E660:E671" si="387">ROUNDDOWN(B660*C660*((185-D660)/100),2)</f>
        <v>146843.28</v>
      </c>
      <c r="F660" s="229" t="s">
        <v>85</v>
      </c>
      <c r="G660" s="230">
        <v>14873</v>
      </c>
      <c r="H660" s="230"/>
      <c r="I660" s="226">
        <v>11.87</v>
      </c>
      <c r="J660" s="228">
        <f t="shared" ref="J660:J671" si="388">ROUNDDOWN(G660*I660,2)</f>
        <v>176542.51</v>
      </c>
      <c r="K660" s="231">
        <f t="shared" ref="K660:K671" si="389">ROUNDDOWN(J660+E660,2)</f>
        <v>323385.78999999998</v>
      </c>
      <c r="L660" s="2"/>
      <c r="M660" s="142" t="s">
        <v>83</v>
      </c>
      <c r="N660" s="143">
        <v>86</v>
      </c>
      <c r="O660" s="123">
        <v>1296</v>
      </c>
      <c r="P660" s="163">
        <v>100</v>
      </c>
      <c r="Q660" s="98">
        <f t="shared" ref="Q660:Q671" si="390">ROUNDDOWN(N660*O660*((185-P660)/100),2)</f>
        <v>94737.600000000006</v>
      </c>
      <c r="R660" s="145" t="s">
        <v>85</v>
      </c>
      <c r="S660" s="146">
        <v>14873</v>
      </c>
      <c r="T660" s="146"/>
      <c r="U660" s="124">
        <v>16.87</v>
      </c>
      <c r="V660" s="98">
        <f t="shared" ref="V660:V671" si="391">ROUNDDOWN(S660*U660,2)</f>
        <v>250907.51</v>
      </c>
      <c r="W660" s="147">
        <f t="shared" ref="W660:W671" si="392">ROUNDDOWN(V660+Q660,2)</f>
        <v>345645.11</v>
      </c>
      <c r="X660" s="2"/>
      <c r="Y660" s="142" t="s">
        <v>83</v>
      </c>
      <c r="Z660" s="143">
        <v>86</v>
      </c>
      <c r="AA660" s="123">
        <v>1296</v>
      </c>
      <c r="AB660" s="163">
        <v>100</v>
      </c>
      <c r="AC660" s="98">
        <f t="shared" ref="AC660:AC671" si="393">ROUNDDOWN(Z660*AA660*((185-AB660)/100),2)</f>
        <v>94737.600000000006</v>
      </c>
      <c r="AD660" s="145" t="s">
        <v>85</v>
      </c>
      <c r="AE660" s="146">
        <v>14873</v>
      </c>
      <c r="AF660" s="146"/>
      <c r="AG660" s="124">
        <v>16.87</v>
      </c>
      <c r="AH660" s="98">
        <f t="shared" ref="AH660:AH671" si="394">ROUNDDOWN(AE660*AG660,2)</f>
        <v>250907.51</v>
      </c>
      <c r="AI660" s="147">
        <f t="shared" ref="AI660:AI671" si="395">ROUNDDOWN(AH660+AC660,2)</f>
        <v>345645.11</v>
      </c>
    </row>
    <row r="661" spans="1:35" ht="30" customHeight="1" x14ac:dyDescent="0.15">
      <c r="A661" s="232" t="s">
        <v>72</v>
      </c>
      <c r="B661" s="233">
        <f t="shared" ref="B661:B671" si="396">B660</f>
        <v>86</v>
      </c>
      <c r="C661" s="234">
        <f t="shared" ref="C661:C671" si="397">C660</f>
        <v>2008.8</v>
      </c>
      <c r="D661" s="235">
        <f t="shared" ref="D661:D671" si="398">D660</f>
        <v>100</v>
      </c>
      <c r="E661" s="228">
        <f t="shared" si="387"/>
        <v>146843.28</v>
      </c>
      <c r="F661" s="229" t="s">
        <v>112</v>
      </c>
      <c r="G661" s="230">
        <v>14894</v>
      </c>
      <c r="H661" s="230"/>
      <c r="I661" s="234">
        <f>I660</f>
        <v>11.87</v>
      </c>
      <c r="J661" s="228">
        <f t="shared" si="388"/>
        <v>176791.78</v>
      </c>
      <c r="K661" s="231">
        <f t="shared" si="389"/>
        <v>323635.06</v>
      </c>
      <c r="L661" s="2"/>
      <c r="M661" s="148" t="s">
        <v>72</v>
      </c>
      <c r="N661" s="149">
        <f t="shared" ref="N661:N671" si="399">N660</f>
        <v>86</v>
      </c>
      <c r="O661" s="125">
        <f t="shared" ref="O661:O671" si="400">O660</f>
        <v>1296</v>
      </c>
      <c r="P661" s="106">
        <f t="shared" ref="P661:P671" si="401">P660</f>
        <v>100</v>
      </c>
      <c r="Q661" s="98">
        <f t="shared" si="390"/>
        <v>94737.600000000006</v>
      </c>
      <c r="R661" s="145" t="s">
        <v>112</v>
      </c>
      <c r="S661" s="146">
        <v>14894</v>
      </c>
      <c r="T661" s="146"/>
      <c r="U661" s="125">
        <f>U660</f>
        <v>16.87</v>
      </c>
      <c r="V661" s="98">
        <f t="shared" si="391"/>
        <v>251261.78</v>
      </c>
      <c r="W661" s="147">
        <f t="shared" si="392"/>
        <v>345999.38</v>
      </c>
      <c r="X661" s="2"/>
      <c r="Y661" s="148" t="s">
        <v>72</v>
      </c>
      <c r="Z661" s="149">
        <f t="shared" ref="Z661:Z671" si="402">Z660</f>
        <v>86</v>
      </c>
      <c r="AA661" s="125">
        <f t="shared" ref="AA661:AA671" si="403">AA660</f>
        <v>1296</v>
      </c>
      <c r="AB661" s="106">
        <f t="shared" ref="AB661:AB671" si="404">AB660</f>
        <v>100</v>
      </c>
      <c r="AC661" s="98">
        <f t="shared" si="393"/>
        <v>94737.600000000006</v>
      </c>
      <c r="AD661" s="145" t="s">
        <v>112</v>
      </c>
      <c r="AE661" s="146">
        <v>14894</v>
      </c>
      <c r="AF661" s="146"/>
      <c r="AG661" s="125">
        <f>AG660</f>
        <v>16.87</v>
      </c>
      <c r="AH661" s="98">
        <f t="shared" si="394"/>
        <v>251261.78</v>
      </c>
      <c r="AI661" s="147">
        <f t="shared" si="395"/>
        <v>345999.38</v>
      </c>
    </row>
    <row r="662" spans="1:35" ht="30" customHeight="1" x14ac:dyDescent="0.15">
      <c r="A662" s="232" t="s">
        <v>73</v>
      </c>
      <c r="B662" s="233">
        <f t="shared" si="396"/>
        <v>86</v>
      </c>
      <c r="C662" s="234">
        <f t="shared" si="397"/>
        <v>2008.8</v>
      </c>
      <c r="D662" s="235">
        <f t="shared" si="398"/>
        <v>100</v>
      </c>
      <c r="E662" s="228">
        <f t="shared" si="387"/>
        <v>146843.28</v>
      </c>
      <c r="F662" s="229" t="s">
        <v>9</v>
      </c>
      <c r="G662" s="230">
        <v>15384</v>
      </c>
      <c r="H662" s="230"/>
      <c r="I662" s="234">
        <f>I661</f>
        <v>11.87</v>
      </c>
      <c r="J662" s="228">
        <f t="shared" si="388"/>
        <v>182608.08</v>
      </c>
      <c r="K662" s="231">
        <f t="shared" si="389"/>
        <v>329451.36</v>
      </c>
      <c r="L662" s="2"/>
      <c r="M662" s="148" t="s">
        <v>73</v>
      </c>
      <c r="N662" s="149">
        <f t="shared" si="399"/>
        <v>86</v>
      </c>
      <c r="O662" s="125">
        <f t="shared" si="400"/>
        <v>1296</v>
      </c>
      <c r="P662" s="106">
        <f t="shared" si="401"/>
        <v>100</v>
      </c>
      <c r="Q662" s="98">
        <f t="shared" si="390"/>
        <v>94737.600000000006</v>
      </c>
      <c r="R662" s="145" t="s">
        <v>9</v>
      </c>
      <c r="S662" s="146">
        <v>15384</v>
      </c>
      <c r="T662" s="146"/>
      <c r="U662" s="125">
        <f>U661</f>
        <v>16.87</v>
      </c>
      <c r="V662" s="98">
        <f t="shared" si="391"/>
        <v>259528.08</v>
      </c>
      <c r="W662" s="147">
        <f t="shared" si="392"/>
        <v>354265.68</v>
      </c>
      <c r="X662" s="2"/>
      <c r="Y662" s="148" t="s">
        <v>73</v>
      </c>
      <c r="Z662" s="149">
        <f t="shared" si="402"/>
        <v>86</v>
      </c>
      <c r="AA662" s="125">
        <f t="shared" si="403"/>
        <v>1296</v>
      </c>
      <c r="AB662" s="106">
        <f t="shared" si="404"/>
        <v>100</v>
      </c>
      <c r="AC662" s="98">
        <f t="shared" si="393"/>
        <v>94737.600000000006</v>
      </c>
      <c r="AD662" s="145" t="s">
        <v>9</v>
      </c>
      <c r="AE662" s="146">
        <v>15384</v>
      </c>
      <c r="AF662" s="146"/>
      <c r="AG662" s="125">
        <f>AG661</f>
        <v>16.87</v>
      </c>
      <c r="AH662" s="98">
        <f t="shared" si="394"/>
        <v>259528.08</v>
      </c>
      <c r="AI662" s="147">
        <f t="shared" si="395"/>
        <v>354265.68</v>
      </c>
    </row>
    <row r="663" spans="1:35" ht="30" customHeight="1" x14ac:dyDescent="0.15">
      <c r="A663" s="232" t="s">
        <v>74</v>
      </c>
      <c r="B663" s="233">
        <f t="shared" si="396"/>
        <v>86</v>
      </c>
      <c r="C663" s="234">
        <f t="shared" si="397"/>
        <v>2008.8</v>
      </c>
      <c r="D663" s="235">
        <f t="shared" si="398"/>
        <v>100</v>
      </c>
      <c r="E663" s="228">
        <f t="shared" si="387"/>
        <v>146843.28</v>
      </c>
      <c r="F663" s="229" t="s">
        <v>9</v>
      </c>
      <c r="G663" s="230">
        <v>13158</v>
      </c>
      <c r="H663" s="230"/>
      <c r="I663" s="234">
        <f>I662</f>
        <v>11.87</v>
      </c>
      <c r="J663" s="228">
        <f t="shared" si="388"/>
        <v>156185.46</v>
      </c>
      <c r="K663" s="231">
        <f t="shared" si="389"/>
        <v>303028.74</v>
      </c>
      <c r="L663" s="2"/>
      <c r="M663" s="148" t="s">
        <v>74</v>
      </c>
      <c r="N663" s="149">
        <f t="shared" si="399"/>
        <v>86</v>
      </c>
      <c r="O663" s="125">
        <f t="shared" si="400"/>
        <v>1296</v>
      </c>
      <c r="P663" s="106">
        <f t="shared" si="401"/>
        <v>100</v>
      </c>
      <c r="Q663" s="98">
        <f t="shared" si="390"/>
        <v>94737.600000000006</v>
      </c>
      <c r="R663" s="145" t="s">
        <v>9</v>
      </c>
      <c r="S663" s="146">
        <v>13158</v>
      </c>
      <c r="T663" s="146"/>
      <c r="U663" s="125">
        <f>U662</f>
        <v>16.87</v>
      </c>
      <c r="V663" s="98">
        <f t="shared" si="391"/>
        <v>221975.46</v>
      </c>
      <c r="W663" s="147">
        <f t="shared" si="392"/>
        <v>316713.06</v>
      </c>
      <c r="X663" s="2"/>
      <c r="Y663" s="148" t="s">
        <v>74</v>
      </c>
      <c r="Z663" s="149">
        <f t="shared" si="402"/>
        <v>86</v>
      </c>
      <c r="AA663" s="125">
        <f t="shared" si="403"/>
        <v>1296</v>
      </c>
      <c r="AB663" s="106">
        <f t="shared" si="404"/>
        <v>100</v>
      </c>
      <c r="AC663" s="98">
        <f t="shared" si="393"/>
        <v>94737.600000000006</v>
      </c>
      <c r="AD663" s="145" t="s">
        <v>9</v>
      </c>
      <c r="AE663" s="146">
        <v>13158</v>
      </c>
      <c r="AF663" s="146"/>
      <c r="AG663" s="125">
        <f>AG662</f>
        <v>16.87</v>
      </c>
      <c r="AH663" s="98">
        <f t="shared" si="394"/>
        <v>221975.46</v>
      </c>
      <c r="AI663" s="147">
        <f t="shared" si="395"/>
        <v>316713.06</v>
      </c>
    </row>
    <row r="664" spans="1:35" ht="30" customHeight="1" x14ac:dyDescent="0.15">
      <c r="A664" s="232" t="s">
        <v>75</v>
      </c>
      <c r="B664" s="233">
        <f t="shared" si="396"/>
        <v>86</v>
      </c>
      <c r="C664" s="234">
        <f t="shared" si="397"/>
        <v>2008.8</v>
      </c>
      <c r="D664" s="235">
        <f t="shared" si="398"/>
        <v>100</v>
      </c>
      <c r="E664" s="228">
        <f t="shared" si="387"/>
        <v>146843.28</v>
      </c>
      <c r="F664" s="229" t="s">
        <v>9</v>
      </c>
      <c r="G664" s="230">
        <v>14196</v>
      </c>
      <c r="H664" s="230"/>
      <c r="I664" s="234">
        <f>I663</f>
        <v>11.87</v>
      </c>
      <c r="J664" s="228">
        <f t="shared" si="388"/>
        <v>168506.52</v>
      </c>
      <c r="K664" s="231">
        <f t="shared" si="389"/>
        <v>315349.8</v>
      </c>
      <c r="L664" s="2"/>
      <c r="M664" s="148" t="s">
        <v>75</v>
      </c>
      <c r="N664" s="149">
        <f t="shared" si="399"/>
        <v>86</v>
      </c>
      <c r="O664" s="125">
        <f t="shared" si="400"/>
        <v>1296</v>
      </c>
      <c r="P664" s="106">
        <f t="shared" si="401"/>
        <v>100</v>
      </c>
      <c r="Q664" s="98">
        <f t="shared" si="390"/>
        <v>94737.600000000006</v>
      </c>
      <c r="R664" s="145" t="s">
        <v>9</v>
      </c>
      <c r="S664" s="146">
        <v>14196</v>
      </c>
      <c r="T664" s="146"/>
      <c r="U664" s="125">
        <f>U663</f>
        <v>16.87</v>
      </c>
      <c r="V664" s="98">
        <f t="shared" si="391"/>
        <v>239486.52</v>
      </c>
      <c r="W664" s="147">
        <f t="shared" si="392"/>
        <v>334224.12</v>
      </c>
      <c r="X664" s="2"/>
      <c r="Y664" s="148" t="s">
        <v>75</v>
      </c>
      <c r="Z664" s="149">
        <f t="shared" si="402"/>
        <v>86</v>
      </c>
      <c r="AA664" s="125">
        <f t="shared" si="403"/>
        <v>1296</v>
      </c>
      <c r="AB664" s="106">
        <f t="shared" si="404"/>
        <v>100</v>
      </c>
      <c r="AC664" s="98">
        <f t="shared" si="393"/>
        <v>94737.600000000006</v>
      </c>
      <c r="AD664" s="145" t="s">
        <v>9</v>
      </c>
      <c r="AE664" s="146">
        <v>14196</v>
      </c>
      <c r="AF664" s="146"/>
      <c r="AG664" s="125">
        <f>AG663</f>
        <v>16.87</v>
      </c>
      <c r="AH664" s="98">
        <f t="shared" si="394"/>
        <v>239486.52</v>
      </c>
      <c r="AI664" s="147">
        <f t="shared" si="395"/>
        <v>334224.12</v>
      </c>
    </row>
    <row r="665" spans="1:35" ht="30" customHeight="1" x14ac:dyDescent="0.15">
      <c r="A665" s="232" t="s">
        <v>76</v>
      </c>
      <c r="B665" s="233">
        <f t="shared" si="396"/>
        <v>86</v>
      </c>
      <c r="C665" s="234">
        <f t="shared" si="397"/>
        <v>2008.8</v>
      </c>
      <c r="D665" s="235">
        <f t="shared" si="398"/>
        <v>100</v>
      </c>
      <c r="E665" s="228">
        <f t="shared" si="387"/>
        <v>146843.28</v>
      </c>
      <c r="F665" s="229" t="s">
        <v>9</v>
      </c>
      <c r="G665" s="230">
        <v>15948</v>
      </c>
      <c r="H665" s="230"/>
      <c r="I665" s="234">
        <f>I664</f>
        <v>11.87</v>
      </c>
      <c r="J665" s="228">
        <f t="shared" si="388"/>
        <v>189302.76</v>
      </c>
      <c r="K665" s="231">
        <f t="shared" si="389"/>
        <v>336146.04</v>
      </c>
      <c r="L665" s="2"/>
      <c r="M665" s="148" t="s">
        <v>76</v>
      </c>
      <c r="N665" s="149">
        <f t="shared" si="399"/>
        <v>86</v>
      </c>
      <c r="O665" s="125">
        <f t="shared" si="400"/>
        <v>1296</v>
      </c>
      <c r="P665" s="106">
        <f t="shared" si="401"/>
        <v>100</v>
      </c>
      <c r="Q665" s="98">
        <f t="shared" si="390"/>
        <v>94737.600000000006</v>
      </c>
      <c r="R665" s="145" t="s">
        <v>9</v>
      </c>
      <c r="S665" s="146">
        <v>15948</v>
      </c>
      <c r="T665" s="146"/>
      <c r="U665" s="125">
        <f>U664</f>
        <v>16.87</v>
      </c>
      <c r="V665" s="98">
        <f t="shared" si="391"/>
        <v>269042.76</v>
      </c>
      <c r="W665" s="147">
        <f t="shared" si="392"/>
        <v>363780.36</v>
      </c>
      <c r="X665" s="2"/>
      <c r="Y665" s="148" t="s">
        <v>76</v>
      </c>
      <c r="Z665" s="149">
        <f t="shared" si="402"/>
        <v>86</v>
      </c>
      <c r="AA665" s="125">
        <f t="shared" si="403"/>
        <v>1296</v>
      </c>
      <c r="AB665" s="106">
        <f t="shared" si="404"/>
        <v>100</v>
      </c>
      <c r="AC665" s="98">
        <f t="shared" si="393"/>
        <v>94737.600000000006</v>
      </c>
      <c r="AD665" s="145" t="s">
        <v>9</v>
      </c>
      <c r="AE665" s="146">
        <v>15948</v>
      </c>
      <c r="AF665" s="146"/>
      <c r="AG665" s="125">
        <f>AG664</f>
        <v>16.87</v>
      </c>
      <c r="AH665" s="98">
        <f t="shared" si="394"/>
        <v>269042.76</v>
      </c>
      <c r="AI665" s="147">
        <f t="shared" si="395"/>
        <v>363780.36</v>
      </c>
    </row>
    <row r="666" spans="1:35" ht="30" customHeight="1" x14ac:dyDescent="0.15">
      <c r="A666" s="232" t="s">
        <v>77</v>
      </c>
      <c r="B666" s="233">
        <f t="shared" si="396"/>
        <v>86</v>
      </c>
      <c r="C666" s="234">
        <f t="shared" si="397"/>
        <v>2008.8</v>
      </c>
      <c r="D666" s="235">
        <f t="shared" si="398"/>
        <v>100</v>
      </c>
      <c r="E666" s="228">
        <f t="shared" si="387"/>
        <v>146843.28</v>
      </c>
      <c r="F666" s="229" t="s">
        <v>71</v>
      </c>
      <c r="G666" s="230">
        <v>18642</v>
      </c>
      <c r="H666" s="230"/>
      <c r="I666" s="226">
        <v>12.78</v>
      </c>
      <c r="J666" s="228">
        <f t="shared" si="388"/>
        <v>238244.76</v>
      </c>
      <c r="K666" s="231">
        <f t="shared" si="389"/>
        <v>385088.04</v>
      </c>
      <c r="L666" s="2"/>
      <c r="M666" s="148" t="s">
        <v>77</v>
      </c>
      <c r="N666" s="149">
        <f t="shared" si="399"/>
        <v>86</v>
      </c>
      <c r="O666" s="125">
        <f t="shared" si="400"/>
        <v>1296</v>
      </c>
      <c r="P666" s="106">
        <f t="shared" si="401"/>
        <v>100</v>
      </c>
      <c r="Q666" s="98">
        <f t="shared" si="390"/>
        <v>94737.600000000006</v>
      </c>
      <c r="R666" s="145" t="s">
        <v>71</v>
      </c>
      <c r="S666" s="146">
        <v>18642</v>
      </c>
      <c r="T666" s="146"/>
      <c r="U666" s="124">
        <v>18.29</v>
      </c>
      <c r="V666" s="98">
        <f t="shared" si="391"/>
        <v>340962.18</v>
      </c>
      <c r="W666" s="147">
        <f t="shared" si="392"/>
        <v>435699.78</v>
      </c>
      <c r="X666" s="2"/>
      <c r="Y666" s="148" t="s">
        <v>77</v>
      </c>
      <c r="Z666" s="149">
        <f t="shared" si="402"/>
        <v>86</v>
      </c>
      <c r="AA666" s="125">
        <f t="shared" si="403"/>
        <v>1296</v>
      </c>
      <c r="AB666" s="106">
        <f t="shared" si="404"/>
        <v>100</v>
      </c>
      <c r="AC666" s="98">
        <f t="shared" si="393"/>
        <v>94737.600000000006</v>
      </c>
      <c r="AD666" s="145" t="s">
        <v>71</v>
      </c>
      <c r="AE666" s="146">
        <v>18642</v>
      </c>
      <c r="AF666" s="146"/>
      <c r="AG666" s="124">
        <v>18.29</v>
      </c>
      <c r="AH666" s="98">
        <f t="shared" si="394"/>
        <v>340962.18</v>
      </c>
      <c r="AI666" s="147">
        <f t="shared" si="395"/>
        <v>435699.78</v>
      </c>
    </row>
    <row r="667" spans="1:35" ht="30" customHeight="1" x14ac:dyDescent="0.15">
      <c r="A667" s="232" t="s">
        <v>78</v>
      </c>
      <c r="B667" s="233">
        <f t="shared" si="396"/>
        <v>86</v>
      </c>
      <c r="C667" s="234">
        <f t="shared" si="397"/>
        <v>2008.8</v>
      </c>
      <c r="D667" s="235">
        <f t="shared" si="398"/>
        <v>100</v>
      </c>
      <c r="E667" s="228">
        <f t="shared" si="387"/>
        <v>146843.28</v>
      </c>
      <c r="F667" s="229" t="s">
        <v>71</v>
      </c>
      <c r="G667" s="230">
        <v>17814</v>
      </c>
      <c r="H667" s="230"/>
      <c r="I667" s="234">
        <f>I666</f>
        <v>12.78</v>
      </c>
      <c r="J667" s="228">
        <f t="shared" si="388"/>
        <v>227662.92</v>
      </c>
      <c r="K667" s="231">
        <f t="shared" si="389"/>
        <v>374506.2</v>
      </c>
      <c r="L667" s="2"/>
      <c r="M667" s="148" t="s">
        <v>78</v>
      </c>
      <c r="N667" s="149">
        <f t="shared" si="399"/>
        <v>86</v>
      </c>
      <c r="O667" s="125">
        <f t="shared" si="400"/>
        <v>1296</v>
      </c>
      <c r="P667" s="106">
        <f t="shared" si="401"/>
        <v>100</v>
      </c>
      <c r="Q667" s="98">
        <f t="shared" si="390"/>
        <v>94737.600000000006</v>
      </c>
      <c r="R667" s="145" t="s">
        <v>71</v>
      </c>
      <c r="S667" s="146">
        <v>17814</v>
      </c>
      <c r="T667" s="146"/>
      <c r="U667" s="125">
        <f>U666</f>
        <v>18.29</v>
      </c>
      <c r="V667" s="98">
        <f t="shared" si="391"/>
        <v>325818.06</v>
      </c>
      <c r="W667" s="147">
        <f t="shared" si="392"/>
        <v>420555.66</v>
      </c>
      <c r="X667" s="2"/>
      <c r="Y667" s="148" t="s">
        <v>78</v>
      </c>
      <c r="Z667" s="149">
        <f t="shared" si="402"/>
        <v>86</v>
      </c>
      <c r="AA667" s="125">
        <f t="shared" si="403"/>
        <v>1296</v>
      </c>
      <c r="AB667" s="106">
        <f t="shared" si="404"/>
        <v>100</v>
      </c>
      <c r="AC667" s="98">
        <f t="shared" si="393"/>
        <v>94737.600000000006</v>
      </c>
      <c r="AD667" s="145" t="s">
        <v>71</v>
      </c>
      <c r="AE667" s="146">
        <v>17814</v>
      </c>
      <c r="AF667" s="146"/>
      <c r="AG667" s="125">
        <f>AG666</f>
        <v>18.29</v>
      </c>
      <c r="AH667" s="98">
        <f t="shared" si="394"/>
        <v>325818.06</v>
      </c>
      <c r="AI667" s="147">
        <f t="shared" si="395"/>
        <v>420555.66</v>
      </c>
    </row>
    <row r="668" spans="1:35" ht="30" customHeight="1" x14ac:dyDescent="0.15">
      <c r="A668" s="232" t="s">
        <v>79</v>
      </c>
      <c r="B668" s="233">
        <f t="shared" si="396"/>
        <v>86</v>
      </c>
      <c r="C668" s="234">
        <f t="shared" si="397"/>
        <v>2008.8</v>
      </c>
      <c r="D668" s="235">
        <f t="shared" si="398"/>
        <v>100</v>
      </c>
      <c r="E668" s="228">
        <f t="shared" si="387"/>
        <v>146843.28</v>
      </c>
      <c r="F668" s="229" t="s">
        <v>71</v>
      </c>
      <c r="G668" s="230">
        <f>13584+3396</f>
        <v>16980</v>
      </c>
      <c r="H668" s="230"/>
      <c r="I668" s="234">
        <f>I667</f>
        <v>12.78</v>
      </c>
      <c r="J668" s="228">
        <f t="shared" si="388"/>
        <v>217004.4</v>
      </c>
      <c r="K668" s="231">
        <f t="shared" si="389"/>
        <v>363847.67999999999</v>
      </c>
      <c r="L668" s="2"/>
      <c r="M668" s="148" t="s">
        <v>79</v>
      </c>
      <c r="N668" s="149">
        <f t="shared" si="399"/>
        <v>86</v>
      </c>
      <c r="O668" s="125">
        <f t="shared" si="400"/>
        <v>1296</v>
      </c>
      <c r="P668" s="106">
        <f t="shared" si="401"/>
        <v>100</v>
      </c>
      <c r="Q668" s="98">
        <f t="shared" si="390"/>
        <v>94737.600000000006</v>
      </c>
      <c r="R668" s="145" t="s">
        <v>71</v>
      </c>
      <c r="S668" s="146">
        <f>13584+3396</f>
        <v>16980</v>
      </c>
      <c r="T668" s="146"/>
      <c r="U668" s="125">
        <f>U667</f>
        <v>18.29</v>
      </c>
      <c r="V668" s="98">
        <f t="shared" si="391"/>
        <v>310564.2</v>
      </c>
      <c r="W668" s="147">
        <f t="shared" si="392"/>
        <v>405301.8</v>
      </c>
      <c r="X668" s="2"/>
      <c r="Y668" s="148" t="s">
        <v>79</v>
      </c>
      <c r="Z668" s="149">
        <f t="shared" si="402"/>
        <v>86</v>
      </c>
      <c r="AA668" s="125">
        <f t="shared" si="403"/>
        <v>1296</v>
      </c>
      <c r="AB668" s="106">
        <f t="shared" si="404"/>
        <v>100</v>
      </c>
      <c r="AC668" s="98">
        <f t="shared" si="393"/>
        <v>94737.600000000006</v>
      </c>
      <c r="AD668" s="145" t="s">
        <v>71</v>
      </c>
      <c r="AE668" s="146">
        <f>13584+3396</f>
        <v>16980</v>
      </c>
      <c r="AF668" s="146"/>
      <c r="AG668" s="125">
        <f>AG667</f>
        <v>18.29</v>
      </c>
      <c r="AH668" s="98">
        <f t="shared" si="394"/>
        <v>310564.2</v>
      </c>
      <c r="AI668" s="147">
        <f t="shared" si="395"/>
        <v>405301.8</v>
      </c>
    </row>
    <row r="669" spans="1:35" ht="30" customHeight="1" x14ac:dyDescent="0.15">
      <c r="A669" s="232" t="s">
        <v>80</v>
      </c>
      <c r="B669" s="233">
        <f t="shared" si="396"/>
        <v>86</v>
      </c>
      <c r="C669" s="234">
        <f t="shared" si="397"/>
        <v>2008.8</v>
      </c>
      <c r="D669" s="235">
        <f t="shared" si="398"/>
        <v>100</v>
      </c>
      <c r="E669" s="228">
        <f t="shared" si="387"/>
        <v>146843.28</v>
      </c>
      <c r="F669" s="229" t="s">
        <v>9</v>
      </c>
      <c r="G669" s="230">
        <v>15048</v>
      </c>
      <c r="H669" s="230"/>
      <c r="I669" s="234">
        <f>I660</f>
        <v>11.87</v>
      </c>
      <c r="J669" s="228">
        <f t="shared" si="388"/>
        <v>178619.76</v>
      </c>
      <c r="K669" s="231">
        <f t="shared" si="389"/>
        <v>325463.03999999998</v>
      </c>
      <c r="L669" s="2"/>
      <c r="M669" s="148" t="s">
        <v>80</v>
      </c>
      <c r="N669" s="149">
        <f t="shared" si="399"/>
        <v>86</v>
      </c>
      <c r="O669" s="125">
        <f t="shared" si="400"/>
        <v>1296</v>
      </c>
      <c r="P669" s="106">
        <f t="shared" si="401"/>
        <v>100</v>
      </c>
      <c r="Q669" s="98">
        <f t="shared" si="390"/>
        <v>94737.600000000006</v>
      </c>
      <c r="R669" s="145" t="s">
        <v>9</v>
      </c>
      <c r="S669" s="146">
        <v>15048</v>
      </c>
      <c r="T669" s="146"/>
      <c r="U669" s="125">
        <f>U660</f>
        <v>16.87</v>
      </c>
      <c r="V669" s="98">
        <f t="shared" si="391"/>
        <v>253859.76</v>
      </c>
      <c r="W669" s="147">
        <f t="shared" si="392"/>
        <v>348597.36</v>
      </c>
      <c r="X669" s="2"/>
      <c r="Y669" s="148" t="s">
        <v>80</v>
      </c>
      <c r="Z669" s="149">
        <f t="shared" si="402"/>
        <v>86</v>
      </c>
      <c r="AA669" s="125">
        <f t="shared" si="403"/>
        <v>1296</v>
      </c>
      <c r="AB669" s="106">
        <f t="shared" si="404"/>
        <v>100</v>
      </c>
      <c r="AC669" s="98">
        <f t="shared" si="393"/>
        <v>94737.600000000006</v>
      </c>
      <c r="AD669" s="145" t="s">
        <v>9</v>
      </c>
      <c r="AE669" s="146">
        <v>15048</v>
      </c>
      <c r="AF669" s="146"/>
      <c r="AG669" s="125">
        <f>AG660</f>
        <v>16.87</v>
      </c>
      <c r="AH669" s="98">
        <f t="shared" si="394"/>
        <v>253859.76</v>
      </c>
      <c r="AI669" s="147">
        <f t="shared" si="395"/>
        <v>348597.36</v>
      </c>
    </row>
    <row r="670" spans="1:35" ht="30" customHeight="1" x14ac:dyDescent="0.15">
      <c r="A670" s="232" t="s">
        <v>81</v>
      </c>
      <c r="B670" s="233">
        <f t="shared" si="396"/>
        <v>86</v>
      </c>
      <c r="C670" s="234">
        <f t="shared" si="397"/>
        <v>2008.8</v>
      </c>
      <c r="D670" s="235">
        <f t="shared" si="398"/>
        <v>100</v>
      </c>
      <c r="E670" s="228">
        <f t="shared" si="387"/>
        <v>146843.28</v>
      </c>
      <c r="F670" s="229" t="s">
        <v>9</v>
      </c>
      <c r="G670" s="230">
        <v>14448</v>
      </c>
      <c r="H670" s="230"/>
      <c r="I670" s="236">
        <f>I669</f>
        <v>11.87</v>
      </c>
      <c r="J670" s="228">
        <f t="shared" si="388"/>
        <v>171497.76</v>
      </c>
      <c r="K670" s="231">
        <f t="shared" si="389"/>
        <v>318341.03999999998</v>
      </c>
      <c r="L670" s="2"/>
      <c r="M670" s="148" t="s">
        <v>81</v>
      </c>
      <c r="N670" s="149">
        <f t="shared" si="399"/>
        <v>86</v>
      </c>
      <c r="O670" s="125">
        <f t="shared" si="400"/>
        <v>1296</v>
      </c>
      <c r="P670" s="106">
        <f t="shared" si="401"/>
        <v>100</v>
      </c>
      <c r="Q670" s="98">
        <f t="shared" si="390"/>
        <v>94737.600000000006</v>
      </c>
      <c r="R670" s="145" t="s">
        <v>9</v>
      </c>
      <c r="S670" s="146">
        <v>14448</v>
      </c>
      <c r="T670" s="146"/>
      <c r="U670" s="127">
        <f>U669</f>
        <v>16.87</v>
      </c>
      <c r="V670" s="98">
        <f t="shared" si="391"/>
        <v>243737.76</v>
      </c>
      <c r="W670" s="147">
        <f t="shared" si="392"/>
        <v>338475.36</v>
      </c>
      <c r="X670" s="2"/>
      <c r="Y670" s="148" t="s">
        <v>81</v>
      </c>
      <c r="Z670" s="149">
        <f t="shared" si="402"/>
        <v>86</v>
      </c>
      <c r="AA670" s="125">
        <f t="shared" si="403"/>
        <v>1296</v>
      </c>
      <c r="AB670" s="106">
        <f t="shared" si="404"/>
        <v>100</v>
      </c>
      <c r="AC670" s="98">
        <f t="shared" si="393"/>
        <v>94737.600000000006</v>
      </c>
      <c r="AD670" s="145" t="s">
        <v>9</v>
      </c>
      <c r="AE670" s="146">
        <v>14448</v>
      </c>
      <c r="AF670" s="146"/>
      <c r="AG670" s="127">
        <f>AG669</f>
        <v>16.87</v>
      </c>
      <c r="AH670" s="98">
        <f t="shared" si="394"/>
        <v>243737.76</v>
      </c>
      <c r="AI670" s="147">
        <f t="shared" si="395"/>
        <v>338475.36</v>
      </c>
    </row>
    <row r="671" spans="1:35" ht="30" customHeight="1" thickBot="1" x14ac:dyDescent="0.2">
      <c r="A671" s="237" t="s">
        <v>82</v>
      </c>
      <c r="B671" s="238">
        <f t="shared" si="396"/>
        <v>86</v>
      </c>
      <c r="C671" s="239">
        <f t="shared" si="397"/>
        <v>2008.8</v>
      </c>
      <c r="D671" s="238">
        <f t="shared" si="398"/>
        <v>100</v>
      </c>
      <c r="E671" s="240">
        <f t="shared" si="387"/>
        <v>146843.28</v>
      </c>
      <c r="F671" s="241" t="s">
        <v>9</v>
      </c>
      <c r="G671" s="242">
        <v>10260</v>
      </c>
      <c r="H671" s="242"/>
      <c r="I671" s="239">
        <f>I670</f>
        <v>11.87</v>
      </c>
      <c r="J671" s="240">
        <f t="shared" si="388"/>
        <v>121786.2</v>
      </c>
      <c r="K671" s="243">
        <f t="shared" si="389"/>
        <v>268629.48</v>
      </c>
      <c r="L671" s="2"/>
      <c r="M671" s="150" t="s">
        <v>82</v>
      </c>
      <c r="N671" s="151">
        <f t="shared" si="399"/>
        <v>86</v>
      </c>
      <c r="O671" s="126">
        <f t="shared" si="400"/>
        <v>1296</v>
      </c>
      <c r="P671" s="152">
        <f t="shared" si="401"/>
        <v>100</v>
      </c>
      <c r="Q671" s="99">
        <f t="shared" si="390"/>
        <v>94737.600000000006</v>
      </c>
      <c r="R671" s="153" t="s">
        <v>9</v>
      </c>
      <c r="S671" s="154">
        <v>10260</v>
      </c>
      <c r="T671" s="154"/>
      <c r="U671" s="126">
        <f>U670</f>
        <v>16.87</v>
      </c>
      <c r="V671" s="99">
        <f t="shared" si="391"/>
        <v>173086.2</v>
      </c>
      <c r="W671" s="155">
        <f t="shared" si="392"/>
        <v>267823.8</v>
      </c>
      <c r="X671" s="2"/>
      <c r="Y671" s="150" t="s">
        <v>82</v>
      </c>
      <c r="Z671" s="151">
        <f t="shared" si="402"/>
        <v>86</v>
      </c>
      <c r="AA671" s="126">
        <f t="shared" si="403"/>
        <v>1296</v>
      </c>
      <c r="AB671" s="152">
        <f t="shared" si="404"/>
        <v>100</v>
      </c>
      <c r="AC671" s="99">
        <f t="shared" si="393"/>
        <v>94737.600000000006</v>
      </c>
      <c r="AD671" s="153" t="s">
        <v>9</v>
      </c>
      <c r="AE671" s="154">
        <v>10260</v>
      </c>
      <c r="AF671" s="154"/>
      <c r="AG671" s="126">
        <f>AG670</f>
        <v>16.87</v>
      </c>
      <c r="AH671" s="99">
        <f t="shared" si="394"/>
        <v>173086.2</v>
      </c>
      <c r="AI671" s="155">
        <f t="shared" si="395"/>
        <v>267823.8</v>
      </c>
    </row>
    <row r="672" spans="1:35" ht="30" customHeight="1" thickBot="1" x14ac:dyDescent="0.2">
      <c r="A672" s="251" t="s">
        <v>41</v>
      </c>
      <c r="B672" s="245"/>
      <c r="C672" s="245"/>
      <c r="D672" s="245"/>
      <c r="E672" s="246">
        <f>SUM(E660:E671)</f>
        <v>1762119.36</v>
      </c>
      <c r="F672" s="247"/>
      <c r="G672" s="248">
        <f>SUM(G660:G671)</f>
        <v>181645</v>
      </c>
      <c r="H672" s="248"/>
      <c r="I672" s="245"/>
      <c r="J672" s="246">
        <f>SUM(J660:J671)</f>
        <v>2204752.9099999997</v>
      </c>
      <c r="K672" s="249">
        <f>SUM(K660:K671)</f>
        <v>3966872.2700000005</v>
      </c>
      <c r="L672" s="89" t="s">
        <v>113</v>
      </c>
      <c r="M672" s="164" t="s">
        <v>41</v>
      </c>
      <c r="N672" s="157"/>
      <c r="O672" s="157"/>
      <c r="P672" s="157"/>
      <c r="Q672" s="158">
        <f>SUM(Q660:Q671)</f>
        <v>1136851.2</v>
      </c>
      <c r="R672" s="159"/>
      <c r="S672" s="160">
        <f>SUM(S660:S671)</f>
        <v>181645</v>
      </c>
      <c r="T672" s="160"/>
      <c r="U672" s="157"/>
      <c r="V672" s="158">
        <f>SUM(V660:V671)</f>
        <v>3140230.2699999996</v>
      </c>
      <c r="W672" s="161">
        <f>SUM(W660:W671)</f>
        <v>4277081.47</v>
      </c>
      <c r="X672" s="89" t="s">
        <v>113</v>
      </c>
      <c r="Y672" s="164" t="s">
        <v>41</v>
      </c>
      <c r="Z672" s="157"/>
      <c r="AA672" s="157"/>
      <c r="AB672" s="157"/>
      <c r="AC672" s="158">
        <f>SUM(AC660:AC671)</f>
        <v>1136851.2</v>
      </c>
      <c r="AD672" s="159"/>
      <c r="AE672" s="160">
        <f>SUM(AE660:AE671)</f>
        <v>181645</v>
      </c>
      <c r="AF672" s="160"/>
      <c r="AG672" s="157"/>
      <c r="AH672" s="158">
        <f>SUM(AH660:AH671)</f>
        <v>3140230.2699999996</v>
      </c>
      <c r="AI672" s="161">
        <f>SUM(AI660:AI671)</f>
        <v>4277081.47</v>
      </c>
    </row>
    <row r="673" spans="1:35" ht="15" customHeight="1" x14ac:dyDescent="0.15">
      <c r="A673" s="214"/>
      <c r="B673" s="250"/>
      <c r="C673" s="250"/>
      <c r="D673" s="250"/>
      <c r="E673" s="250"/>
      <c r="F673" s="250"/>
      <c r="G673" s="250"/>
      <c r="H673" s="250"/>
      <c r="I673" s="250"/>
      <c r="J673" s="250"/>
      <c r="K673" s="250"/>
      <c r="L673" s="89"/>
      <c r="N673" s="162"/>
      <c r="O673" s="162"/>
      <c r="P673" s="162"/>
      <c r="Q673" s="162"/>
      <c r="R673" s="162"/>
      <c r="S673" s="162"/>
      <c r="T673" s="162"/>
      <c r="U673" s="162"/>
      <c r="V673" s="162"/>
      <c r="W673" s="162"/>
      <c r="X673" s="89"/>
      <c r="Z673" s="162"/>
      <c r="AA673" s="162"/>
      <c r="AB673" s="162"/>
      <c r="AC673" s="162"/>
      <c r="AD673" s="162"/>
      <c r="AE673" s="162"/>
      <c r="AF673" s="162"/>
      <c r="AG673" s="162"/>
      <c r="AH673" s="162"/>
      <c r="AI673" s="162"/>
    </row>
    <row r="674" spans="1:35" x14ac:dyDescent="0.15">
      <c r="A674" s="211" t="s">
        <v>153</v>
      </c>
      <c r="B674" s="212">
        <f>B649+1</f>
        <v>25</v>
      </c>
      <c r="C674" s="213"/>
      <c r="D674" s="213"/>
      <c r="E674" s="213"/>
      <c r="F674" s="213"/>
      <c r="G674" s="213"/>
      <c r="H674" s="213"/>
      <c r="I674" s="213"/>
      <c r="J674" s="213"/>
      <c r="K674" s="692" t="str">
        <f>IF(K697-W697&lt;=0,"現状のまま","メニュー変更")</f>
        <v>現状のまま</v>
      </c>
      <c r="L674" s="2"/>
      <c r="M674" s="47" t="s">
        <v>153</v>
      </c>
      <c r="N674" s="62">
        <f>N649+1</f>
        <v>25</v>
      </c>
      <c r="X674" s="2"/>
      <c r="Y674" s="47" t="s">
        <v>153</v>
      </c>
      <c r="Z674" s="62" t="e">
        <f>Z649+1</f>
        <v>#REF!</v>
      </c>
    </row>
    <row r="675" spans="1:35" x14ac:dyDescent="0.15">
      <c r="A675" s="214"/>
      <c r="B675" s="213"/>
      <c r="C675" s="213"/>
      <c r="D675" s="213"/>
      <c r="E675" s="213"/>
      <c r="F675" s="213"/>
      <c r="G675" s="213"/>
      <c r="H675" s="213"/>
      <c r="I675" s="213"/>
      <c r="J675" s="213"/>
      <c r="K675" s="692"/>
      <c r="L675" s="2"/>
      <c r="X675" s="2"/>
    </row>
    <row r="676" spans="1:35" x14ac:dyDescent="0.15">
      <c r="A676" s="214"/>
      <c r="B676" s="213"/>
      <c r="C676" s="213"/>
      <c r="D676" s="213"/>
      <c r="E676" s="213"/>
      <c r="F676" s="213"/>
      <c r="G676" s="213"/>
      <c r="H676" s="213"/>
      <c r="I676" s="213"/>
      <c r="J676" s="213"/>
      <c r="K676" s="692"/>
      <c r="L676" s="2"/>
      <c r="X676" s="2"/>
    </row>
    <row r="677" spans="1:35" ht="17.25" x14ac:dyDescent="0.15">
      <c r="A677" s="694" t="str">
        <f>$A$5</f>
        <v>平成29年度小郡市役所庁舎外25施設電力需給</v>
      </c>
      <c r="B677" s="694"/>
      <c r="C677" s="694"/>
      <c r="D677" s="694"/>
      <c r="E677" s="694"/>
      <c r="F677" s="694"/>
      <c r="G677" s="694"/>
      <c r="H677" s="694"/>
      <c r="I677" s="694"/>
      <c r="J677" s="694"/>
      <c r="K677" s="694"/>
      <c r="L677" s="2"/>
      <c r="M677" s="553" t="str">
        <f>$A$5</f>
        <v>平成29年度小郡市役所庁舎外25施設電力需給</v>
      </c>
      <c r="N677" s="553"/>
      <c r="O677" s="553"/>
      <c r="P677" s="553"/>
      <c r="Q677" s="553"/>
      <c r="R677" s="553"/>
      <c r="S677" s="553"/>
      <c r="T677" s="553"/>
      <c r="U677" s="553"/>
      <c r="V677" s="553"/>
      <c r="W677" s="553"/>
      <c r="X677" s="2"/>
      <c r="Y677" s="553" t="str">
        <f>$A$5</f>
        <v>平成29年度小郡市役所庁舎外25施設電力需給</v>
      </c>
      <c r="Z677" s="553"/>
      <c r="AA677" s="553"/>
      <c r="AB677" s="553"/>
      <c r="AC677" s="553"/>
      <c r="AD677" s="553"/>
      <c r="AE677" s="553"/>
      <c r="AF677" s="553"/>
      <c r="AG677" s="553"/>
      <c r="AH677" s="553"/>
      <c r="AI677" s="553"/>
    </row>
    <row r="678" spans="1:35" x14ac:dyDescent="0.15">
      <c r="A678" s="689" t="str">
        <f>$A$6</f>
        <v>（平成３０年１月～平成３０年１２月期間中の予定金額）</v>
      </c>
      <c r="B678" s="689"/>
      <c r="C678" s="689"/>
      <c r="D678" s="689"/>
      <c r="E678" s="689"/>
      <c r="F678" s="689"/>
      <c r="G678" s="689"/>
      <c r="H678" s="689"/>
      <c r="I678" s="689"/>
      <c r="J678" s="689"/>
      <c r="K678" s="689"/>
      <c r="L678" s="2"/>
      <c r="M678" s="555" t="str">
        <f>$A$6</f>
        <v>（平成３０年１月～平成３０年１２月期間中の予定金額）</v>
      </c>
      <c r="N678" s="555"/>
      <c r="O678" s="555"/>
      <c r="P678" s="555"/>
      <c r="Q678" s="555"/>
      <c r="R678" s="555"/>
      <c r="S678" s="555"/>
      <c r="T678" s="555"/>
      <c r="U678" s="555"/>
      <c r="V678" s="555"/>
      <c r="W678" s="555"/>
      <c r="X678" s="2"/>
      <c r="Y678" s="555" t="str">
        <f>$A$6</f>
        <v>（平成３０年１月～平成３０年１２月期間中の予定金額）</v>
      </c>
      <c r="Z678" s="555"/>
      <c r="AA678" s="555"/>
      <c r="AB678" s="555"/>
      <c r="AC678" s="555"/>
      <c r="AD678" s="555"/>
      <c r="AE678" s="555"/>
      <c r="AF678" s="555"/>
      <c r="AG678" s="555"/>
      <c r="AH678" s="555"/>
      <c r="AI678" s="555"/>
    </row>
    <row r="679" spans="1:35" ht="14.25" thickBot="1" x14ac:dyDescent="0.2">
      <c r="A679" s="252" t="s">
        <v>127</v>
      </c>
      <c r="B679" s="213"/>
      <c r="C679" s="213"/>
      <c r="D679" s="213"/>
      <c r="E679" s="213"/>
      <c r="F679" s="213"/>
      <c r="G679" s="213"/>
      <c r="H679" s="213"/>
      <c r="I679" s="213"/>
      <c r="J679" s="213"/>
      <c r="K679" s="211" t="s">
        <v>84</v>
      </c>
      <c r="L679" s="2"/>
      <c r="M679" s="209" t="s">
        <v>127</v>
      </c>
      <c r="W679" s="47" t="s">
        <v>70</v>
      </c>
      <c r="X679" s="2"/>
      <c r="Y679" s="209" t="s">
        <v>127</v>
      </c>
      <c r="AI679" s="47" t="s">
        <v>70</v>
      </c>
    </row>
    <row r="680" spans="1:35" ht="18" customHeight="1" thickBot="1" x14ac:dyDescent="0.2">
      <c r="A680" s="695" t="s">
        <v>33</v>
      </c>
      <c r="B680" s="683" t="s">
        <v>24</v>
      </c>
      <c r="C680" s="684"/>
      <c r="D680" s="684"/>
      <c r="E680" s="685"/>
      <c r="F680" s="686" t="s">
        <v>34</v>
      </c>
      <c r="G680" s="687"/>
      <c r="H680" s="687"/>
      <c r="I680" s="687"/>
      <c r="J680" s="688"/>
      <c r="K680" s="667" t="s">
        <v>35</v>
      </c>
      <c r="L680" s="2"/>
      <c r="M680" s="567" t="s">
        <v>33</v>
      </c>
      <c r="N680" s="570" t="s">
        <v>24</v>
      </c>
      <c r="O680" s="571"/>
      <c r="P680" s="571"/>
      <c r="Q680" s="572"/>
      <c r="R680" s="573" t="s">
        <v>34</v>
      </c>
      <c r="S680" s="574"/>
      <c r="T680" s="574"/>
      <c r="U680" s="574"/>
      <c r="V680" s="575"/>
      <c r="W680" s="544" t="s">
        <v>35</v>
      </c>
      <c r="X680" s="2"/>
      <c r="Y680" s="567" t="s">
        <v>33</v>
      </c>
      <c r="Z680" s="570" t="s">
        <v>24</v>
      </c>
      <c r="AA680" s="571"/>
      <c r="AB680" s="571"/>
      <c r="AC680" s="572"/>
      <c r="AD680" s="573" t="s">
        <v>34</v>
      </c>
      <c r="AE680" s="574"/>
      <c r="AF680" s="574"/>
      <c r="AG680" s="574"/>
      <c r="AH680" s="575"/>
      <c r="AI680" s="544" t="s">
        <v>35</v>
      </c>
    </row>
    <row r="681" spans="1:35" ht="13.5" customHeight="1" x14ac:dyDescent="0.15">
      <c r="A681" s="696"/>
      <c r="B681" s="669" t="s">
        <v>28</v>
      </c>
      <c r="C681" s="667" t="s">
        <v>29</v>
      </c>
      <c r="D681" s="669" t="s">
        <v>25</v>
      </c>
      <c r="E681" s="678" t="s">
        <v>31</v>
      </c>
      <c r="F681" s="679" t="s">
        <v>36</v>
      </c>
      <c r="G681" s="680"/>
      <c r="H681" s="216"/>
      <c r="I681" s="667" t="s">
        <v>37</v>
      </c>
      <c r="J681" s="669" t="s">
        <v>38</v>
      </c>
      <c r="K681" s="668"/>
      <c r="L681" s="2"/>
      <c r="M681" s="568"/>
      <c r="N681" s="546" t="s">
        <v>28</v>
      </c>
      <c r="O681" s="544" t="s">
        <v>29</v>
      </c>
      <c r="P681" s="546" t="s">
        <v>25</v>
      </c>
      <c r="Q681" s="582" t="s">
        <v>31</v>
      </c>
      <c r="R681" s="540" t="s">
        <v>36</v>
      </c>
      <c r="S681" s="541"/>
      <c r="T681" s="135"/>
      <c r="U681" s="544" t="s">
        <v>37</v>
      </c>
      <c r="V681" s="546" t="s">
        <v>38</v>
      </c>
      <c r="W681" s="545"/>
      <c r="X681" s="2"/>
      <c r="Y681" s="568"/>
      <c r="Z681" s="546" t="s">
        <v>28</v>
      </c>
      <c r="AA681" s="544" t="s">
        <v>29</v>
      </c>
      <c r="AB681" s="546" t="s">
        <v>25</v>
      </c>
      <c r="AC681" s="582" t="s">
        <v>31</v>
      </c>
      <c r="AD681" s="540" t="s">
        <v>36</v>
      </c>
      <c r="AE681" s="541"/>
      <c r="AF681" s="135"/>
      <c r="AG681" s="544" t="s">
        <v>37</v>
      </c>
      <c r="AH681" s="546" t="s">
        <v>38</v>
      </c>
      <c r="AI681" s="545"/>
    </row>
    <row r="682" spans="1:35" x14ac:dyDescent="0.15">
      <c r="A682" s="696"/>
      <c r="B682" s="669"/>
      <c r="C682" s="668"/>
      <c r="D682" s="669"/>
      <c r="E682" s="669"/>
      <c r="F682" s="681"/>
      <c r="G682" s="682"/>
      <c r="H682" s="217"/>
      <c r="I682" s="668"/>
      <c r="J682" s="669"/>
      <c r="K682" s="668"/>
      <c r="L682" s="2"/>
      <c r="M682" s="568"/>
      <c r="N682" s="546"/>
      <c r="O682" s="545"/>
      <c r="P682" s="546"/>
      <c r="Q682" s="546"/>
      <c r="R682" s="542"/>
      <c r="S682" s="543"/>
      <c r="T682" s="136"/>
      <c r="U682" s="545"/>
      <c r="V682" s="546"/>
      <c r="W682" s="545"/>
      <c r="X682" s="2"/>
      <c r="Y682" s="568"/>
      <c r="Z682" s="546"/>
      <c r="AA682" s="545"/>
      <c r="AB682" s="546"/>
      <c r="AC682" s="546"/>
      <c r="AD682" s="542"/>
      <c r="AE682" s="543"/>
      <c r="AF682" s="136"/>
      <c r="AG682" s="545"/>
      <c r="AH682" s="546"/>
      <c r="AI682" s="545"/>
    </row>
    <row r="683" spans="1:35" ht="23.25" customHeight="1" x14ac:dyDescent="0.15">
      <c r="A683" s="696"/>
      <c r="B683" s="218" t="s">
        <v>13</v>
      </c>
      <c r="C683" s="219" t="s">
        <v>30</v>
      </c>
      <c r="D683" s="218" t="s">
        <v>14</v>
      </c>
      <c r="E683" s="218" t="s">
        <v>40</v>
      </c>
      <c r="F683" s="665" t="s">
        <v>15</v>
      </c>
      <c r="G683" s="666"/>
      <c r="H683" s="220"/>
      <c r="I683" s="219" t="s">
        <v>30</v>
      </c>
      <c r="J683" s="218" t="s">
        <v>40</v>
      </c>
      <c r="K683" s="218" t="s">
        <v>40</v>
      </c>
      <c r="L683" s="2"/>
      <c r="M683" s="568"/>
      <c r="N683" s="137" t="s">
        <v>152</v>
      </c>
      <c r="O683" s="138" t="s">
        <v>30</v>
      </c>
      <c r="P683" s="137" t="s">
        <v>14</v>
      </c>
      <c r="Q683" s="137" t="s">
        <v>40</v>
      </c>
      <c r="R683" s="549" t="s">
        <v>15</v>
      </c>
      <c r="S683" s="550"/>
      <c r="T683" s="139"/>
      <c r="U683" s="138" t="s">
        <v>30</v>
      </c>
      <c r="V683" s="137" t="s">
        <v>40</v>
      </c>
      <c r="W683" s="137" t="s">
        <v>40</v>
      </c>
      <c r="X683" s="2"/>
      <c r="Y683" s="568"/>
      <c r="Z683" s="137" t="s">
        <v>152</v>
      </c>
      <c r="AA683" s="138" t="s">
        <v>30</v>
      </c>
      <c r="AB683" s="137" t="s">
        <v>14</v>
      </c>
      <c r="AC683" s="137" t="s">
        <v>40</v>
      </c>
      <c r="AD683" s="549" t="s">
        <v>15</v>
      </c>
      <c r="AE683" s="550"/>
      <c r="AF683" s="139"/>
      <c r="AG683" s="138" t="s">
        <v>30</v>
      </c>
      <c r="AH683" s="137" t="s">
        <v>40</v>
      </c>
      <c r="AI683" s="137" t="s">
        <v>40</v>
      </c>
    </row>
    <row r="684" spans="1:35" ht="15.75" customHeight="1" thickBot="1" x14ac:dyDescent="0.2">
      <c r="A684" s="697"/>
      <c r="B684" s="221" t="s">
        <v>16</v>
      </c>
      <c r="C684" s="221" t="s">
        <v>17</v>
      </c>
      <c r="D684" s="221" t="s">
        <v>18</v>
      </c>
      <c r="E684" s="221" t="s">
        <v>19</v>
      </c>
      <c r="F684" s="222"/>
      <c r="G684" s="223" t="s">
        <v>20</v>
      </c>
      <c r="H684" s="223"/>
      <c r="I684" s="221" t="s">
        <v>21</v>
      </c>
      <c r="J684" s="221" t="s">
        <v>22</v>
      </c>
      <c r="K684" s="223" t="s">
        <v>23</v>
      </c>
      <c r="L684" s="2"/>
      <c r="M684" s="569"/>
      <c r="N684" s="122" t="s">
        <v>16</v>
      </c>
      <c r="O684" s="122" t="s">
        <v>17</v>
      </c>
      <c r="P684" s="122" t="s">
        <v>18</v>
      </c>
      <c r="Q684" s="122" t="s">
        <v>19</v>
      </c>
      <c r="R684" s="140"/>
      <c r="S684" s="141" t="s">
        <v>20</v>
      </c>
      <c r="T684" s="141"/>
      <c r="U684" s="122" t="s">
        <v>21</v>
      </c>
      <c r="V684" s="122" t="s">
        <v>22</v>
      </c>
      <c r="W684" s="141" t="s">
        <v>23</v>
      </c>
      <c r="X684" s="2"/>
      <c r="Y684" s="569"/>
      <c r="Z684" s="122" t="s">
        <v>16</v>
      </c>
      <c r="AA684" s="122" t="s">
        <v>17</v>
      </c>
      <c r="AB684" s="122" t="s">
        <v>18</v>
      </c>
      <c r="AC684" s="122" t="s">
        <v>19</v>
      </c>
      <c r="AD684" s="140"/>
      <c r="AE684" s="141" t="s">
        <v>20</v>
      </c>
      <c r="AF684" s="141"/>
      <c r="AG684" s="122" t="s">
        <v>21</v>
      </c>
      <c r="AH684" s="122" t="s">
        <v>22</v>
      </c>
      <c r="AI684" s="141" t="s">
        <v>23</v>
      </c>
    </row>
    <row r="685" spans="1:35" ht="30" customHeight="1" x14ac:dyDescent="0.15">
      <c r="A685" s="224" t="s">
        <v>83</v>
      </c>
      <c r="B685" s="225">
        <v>65</v>
      </c>
      <c r="C685" s="226">
        <v>1296</v>
      </c>
      <c r="D685" s="225">
        <v>100</v>
      </c>
      <c r="E685" s="228">
        <f t="shared" ref="E685:E696" si="405">ROUNDDOWN(B685*C685*((185-D685)/100),2)</f>
        <v>71604</v>
      </c>
      <c r="F685" s="229" t="s">
        <v>85</v>
      </c>
      <c r="G685" s="230">
        <v>5726</v>
      </c>
      <c r="H685" s="230"/>
      <c r="I685" s="226">
        <v>16.87</v>
      </c>
      <c r="J685" s="228">
        <f t="shared" ref="J685:J696" si="406">ROUNDDOWN(G685*I685,2)</f>
        <v>96597.62</v>
      </c>
      <c r="K685" s="231">
        <f t="shared" ref="K685:K696" si="407">ROUNDDOWN(J685+E685,2)</f>
        <v>168201.62</v>
      </c>
      <c r="L685" s="2"/>
      <c r="M685" s="142" t="s">
        <v>83</v>
      </c>
      <c r="N685" s="143">
        <v>65</v>
      </c>
      <c r="O685" s="123">
        <v>2008.8</v>
      </c>
      <c r="P685" s="163">
        <v>100</v>
      </c>
      <c r="Q685" s="98">
        <f t="shared" ref="Q685:Q696" si="408">ROUNDDOWN(N685*O685*((185-P685)/100),2)</f>
        <v>110986.2</v>
      </c>
      <c r="R685" s="145" t="s">
        <v>85</v>
      </c>
      <c r="S685" s="146">
        <v>5726</v>
      </c>
      <c r="T685" s="146"/>
      <c r="U685" s="124">
        <v>11.87</v>
      </c>
      <c r="V685" s="98">
        <f t="shared" ref="V685:V696" si="409">ROUNDDOWN(S685*U685,2)</f>
        <v>67967.62</v>
      </c>
      <c r="W685" s="147">
        <f t="shared" ref="W685:W696" si="410">ROUNDDOWN(V685+Q685,2)</f>
        <v>178953.82</v>
      </c>
      <c r="X685" s="2"/>
      <c r="Y685" s="142" t="s">
        <v>83</v>
      </c>
      <c r="Z685" s="143">
        <v>65</v>
      </c>
      <c r="AA685" s="123">
        <v>2008.8</v>
      </c>
      <c r="AB685" s="163">
        <v>100</v>
      </c>
      <c r="AC685" s="98">
        <f t="shared" ref="AC685:AC696" si="411">ROUNDDOWN(Z685*AA685*((185-AB685)/100),2)</f>
        <v>110986.2</v>
      </c>
      <c r="AD685" s="145" t="s">
        <v>85</v>
      </c>
      <c r="AE685" s="146">
        <v>5726</v>
      </c>
      <c r="AF685" s="146"/>
      <c r="AG685" s="124">
        <v>11.87</v>
      </c>
      <c r="AH685" s="98">
        <f t="shared" ref="AH685:AH696" si="412">ROUNDDOWN(AE685*AG685,2)</f>
        <v>67967.62</v>
      </c>
      <c r="AI685" s="147">
        <f t="shared" ref="AI685:AI696" si="413">ROUNDDOWN(AH685+AC685,2)</f>
        <v>178953.82</v>
      </c>
    </row>
    <row r="686" spans="1:35" ht="30" customHeight="1" x14ac:dyDescent="0.15">
      <c r="A686" s="232" t="s">
        <v>72</v>
      </c>
      <c r="B686" s="233">
        <f t="shared" ref="B686:B696" si="414">B685</f>
        <v>65</v>
      </c>
      <c r="C686" s="234">
        <f t="shared" ref="C686:C696" si="415">C685</f>
        <v>1296</v>
      </c>
      <c r="D686" s="235">
        <f t="shared" ref="D686:D696" si="416">D685</f>
        <v>100</v>
      </c>
      <c r="E686" s="228">
        <f t="shared" si="405"/>
        <v>71604</v>
      </c>
      <c r="F686" s="229" t="s">
        <v>112</v>
      </c>
      <c r="G686" s="230">
        <v>5935</v>
      </c>
      <c r="H686" s="230"/>
      <c r="I686" s="234">
        <f>I685</f>
        <v>16.87</v>
      </c>
      <c r="J686" s="228">
        <f t="shared" si="406"/>
        <v>100123.45</v>
      </c>
      <c r="K686" s="231">
        <f t="shared" si="407"/>
        <v>171727.45</v>
      </c>
      <c r="L686" s="2"/>
      <c r="M686" s="148" t="s">
        <v>72</v>
      </c>
      <c r="N686" s="149">
        <f t="shared" ref="N686:N696" si="417">N685</f>
        <v>65</v>
      </c>
      <c r="O686" s="125">
        <f t="shared" ref="O686:O696" si="418">O685</f>
        <v>2008.8</v>
      </c>
      <c r="P686" s="106">
        <f t="shared" ref="P686:P696" si="419">P685</f>
        <v>100</v>
      </c>
      <c r="Q686" s="98">
        <f t="shared" si="408"/>
        <v>110986.2</v>
      </c>
      <c r="R686" s="145" t="s">
        <v>112</v>
      </c>
      <c r="S686" s="146">
        <v>5935</v>
      </c>
      <c r="T686" s="146"/>
      <c r="U686" s="125">
        <f>U685</f>
        <v>11.87</v>
      </c>
      <c r="V686" s="98">
        <f t="shared" si="409"/>
        <v>70448.45</v>
      </c>
      <c r="W686" s="147">
        <f t="shared" si="410"/>
        <v>181434.65</v>
      </c>
      <c r="X686" s="2"/>
      <c r="Y686" s="148" t="s">
        <v>72</v>
      </c>
      <c r="Z686" s="149">
        <f t="shared" ref="Z686:Z696" si="420">Z685</f>
        <v>65</v>
      </c>
      <c r="AA686" s="125">
        <f t="shared" ref="AA686:AA696" si="421">AA685</f>
        <v>2008.8</v>
      </c>
      <c r="AB686" s="106">
        <f t="shared" ref="AB686:AB696" si="422">AB685</f>
        <v>100</v>
      </c>
      <c r="AC686" s="98">
        <f t="shared" si="411"/>
        <v>110986.2</v>
      </c>
      <c r="AD686" s="145" t="s">
        <v>112</v>
      </c>
      <c r="AE686" s="146">
        <v>5935</v>
      </c>
      <c r="AF686" s="146"/>
      <c r="AG686" s="125">
        <f>AG685</f>
        <v>11.87</v>
      </c>
      <c r="AH686" s="98">
        <f t="shared" si="412"/>
        <v>70448.45</v>
      </c>
      <c r="AI686" s="147">
        <f t="shared" si="413"/>
        <v>181434.65</v>
      </c>
    </row>
    <row r="687" spans="1:35" ht="30" customHeight="1" x14ac:dyDescent="0.15">
      <c r="A687" s="232" t="s">
        <v>73</v>
      </c>
      <c r="B687" s="233">
        <f t="shared" si="414"/>
        <v>65</v>
      </c>
      <c r="C687" s="234">
        <f t="shared" si="415"/>
        <v>1296</v>
      </c>
      <c r="D687" s="235">
        <f t="shared" si="416"/>
        <v>100</v>
      </c>
      <c r="E687" s="228">
        <f t="shared" si="405"/>
        <v>71604</v>
      </c>
      <c r="F687" s="229" t="s">
        <v>9</v>
      </c>
      <c r="G687" s="230">
        <v>4955</v>
      </c>
      <c r="H687" s="230"/>
      <c r="I687" s="234">
        <f>I686</f>
        <v>16.87</v>
      </c>
      <c r="J687" s="228">
        <f t="shared" si="406"/>
        <v>83590.850000000006</v>
      </c>
      <c r="K687" s="231">
        <f t="shared" si="407"/>
        <v>155194.85</v>
      </c>
      <c r="L687" s="2"/>
      <c r="M687" s="148" t="s">
        <v>73</v>
      </c>
      <c r="N687" s="149">
        <f t="shared" si="417"/>
        <v>65</v>
      </c>
      <c r="O687" s="125">
        <f t="shared" si="418"/>
        <v>2008.8</v>
      </c>
      <c r="P687" s="106">
        <f t="shared" si="419"/>
        <v>100</v>
      </c>
      <c r="Q687" s="98">
        <f t="shared" si="408"/>
        <v>110986.2</v>
      </c>
      <c r="R687" s="145" t="s">
        <v>9</v>
      </c>
      <c r="S687" s="146">
        <v>4955</v>
      </c>
      <c r="T687" s="146"/>
      <c r="U687" s="125">
        <f>U686</f>
        <v>11.87</v>
      </c>
      <c r="V687" s="98">
        <f t="shared" si="409"/>
        <v>58815.85</v>
      </c>
      <c r="W687" s="147">
        <f t="shared" si="410"/>
        <v>169802.05</v>
      </c>
      <c r="X687" s="2"/>
      <c r="Y687" s="148" t="s">
        <v>73</v>
      </c>
      <c r="Z687" s="149">
        <f t="shared" si="420"/>
        <v>65</v>
      </c>
      <c r="AA687" s="125">
        <f t="shared" si="421"/>
        <v>2008.8</v>
      </c>
      <c r="AB687" s="106">
        <f t="shared" si="422"/>
        <v>100</v>
      </c>
      <c r="AC687" s="98">
        <f t="shared" si="411"/>
        <v>110986.2</v>
      </c>
      <c r="AD687" s="145" t="s">
        <v>9</v>
      </c>
      <c r="AE687" s="146">
        <v>4955</v>
      </c>
      <c r="AF687" s="146"/>
      <c r="AG687" s="125">
        <f>AG686</f>
        <v>11.87</v>
      </c>
      <c r="AH687" s="98">
        <f t="shared" si="412"/>
        <v>58815.85</v>
      </c>
      <c r="AI687" s="147">
        <f t="shared" si="413"/>
        <v>169802.05</v>
      </c>
    </row>
    <row r="688" spans="1:35" ht="30" customHeight="1" x14ac:dyDescent="0.15">
      <c r="A688" s="232" t="s">
        <v>74</v>
      </c>
      <c r="B688" s="233">
        <f t="shared" si="414"/>
        <v>65</v>
      </c>
      <c r="C688" s="234">
        <f t="shared" si="415"/>
        <v>1296</v>
      </c>
      <c r="D688" s="235">
        <f t="shared" si="416"/>
        <v>100</v>
      </c>
      <c r="E688" s="228">
        <f t="shared" si="405"/>
        <v>71604</v>
      </c>
      <c r="F688" s="229" t="s">
        <v>9</v>
      </c>
      <c r="G688" s="230">
        <v>3456</v>
      </c>
      <c r="H688" s="230"/>
      <c r="I688" s="234">
        <f>I687</f>
        <v>16.87</v>
      </c>
      <c r="J688" s="228">
        <f t="shared" si="406"/>
        <v>58302.720000000001</v>
      </c>
      <c r="K688" s="231">
        <f t="shared" si="407"/>
        <v>129906.72</v>
      </c>
      <c r="L688" s="2"/>
      <c r="M688" s="148" t="s">
        <v>74</v>
      </c>
      <c r="N688" s="149">
        <f t="shared" si="417"/>
        <v>65</v>
      </c>
      <c r="O688" s="125">
        <f t="shared" si="418"/>
        <v>2008.8</v>
      </c>
      <c r="P688" s="106">
        <f t="shared" si="419"/>
        <v>100</v>
      </c>
      <c r="Q688" s="98">
        <f t="shared" si="408"/>
        <v>110986.2</v>
      </c>
      <c r="R688" s="145" t="s">
        <v>9</v>
      </c>
      <c r="S688" s="146">
        <v>3456</v>
      </c>
      <c r="T688" s="146"/>
      <c r="U688" s="125">
        <f>U687</f>
        <v>11.87</v>
      </c>
      <c r="V688" s="98">
        <f t="shared" si="409"/>
        <v>41022.720000000001</v>
      </c>
      <c r="W688" s="147">
        <f t="shared" si="410"/>
        <v>152008.92000000001</v>
      </c>
      <c r="X688" s="2"/>
      <c r="Y688" s="148" t="s">
        <v>74</v>
      </c>
      <c r="Z688" s="149">
        <f t="shared" si="420"/>
        <v>65</v>
      </c>
      <c r="AA688" s="125">
        <f t="shared" si="421"/>
        <v>2008.8</v>
      </c>
      <c r="AB688" s="106">
        <f t="shared" si="422"/>
        <v>100</v>
      </c>
      <c r="AC688" s="98">
        <f t="shared" si="411"/>
        <v>110986.2</v>
      </c>
      <c r="AD688" s="145" t="s">
        <v>9</v>
      </c>
      <c r="AE688" s="146">
        <v>3456</v>
      </c>
      <c r="AF688" s="146"/>
      <c r="AG688" s="125">
        <f>AG687</f>
        <v>11.87</v>
      </c>
      <c r="AH688" s="98">
        <f t="shared" si="412"/>
        <v>41022.720000000001</v>
      </c>
      <c r="AI688" s="147">
        <f t="shared" si="413"/>
        <v>152008.92000000001</v>
      </c>
    </row>
    <row r="689" spans="1:35" ht="30" customHeight="1" x14ac:dyDescent="0.15">
      <c r="A689" s="232" t="s">
        <v>75</v>
      </c>
      <c r="B689" s="233">
        <f t="shared" si="414"/>
        <v>65</v>
      </c>
      <c r="C689" s="234">
        <f t="shared" si="415"/>
        <v>1296</v>
      </c>
      <c r="D689" s="235">
        <f t="shared" si="416"/>
        <v>100</v>
      </c>
      <c r="E689" s="228">
        <f t="shared" si="405"/>
        <v>71604</v>
      </c>
      <c r="F689" s="229" t="s">
        <v>9</v>
      </c>
      <c r="G689" s="230">
        <v>3588</v>
      </c>
      <c r="H689" s="230"/>
      <c r="I689" s="234">
        <f>I688</f>
        <v>16.87</v>
      </c>
      <c r="J689" s="228">
        <f t="shared" si="406"/>
        <v>60529.56</v>
      </c>
      <c r="K689" s="231">
        <f t="shared" si="407"/>
        <v>132133.56</v>
      </c>
      <c r="L689" s="2"/>
      <c r="M689" s="148" t="s">
        <v>75</v>
      </c>
      <c r="N689" s="149">
        <f t="shared" si="417"/>
        <v>65</v>
      </c>
      <c r="O689" s="125">
        <f t="shared" si="418"/>
        <v>2008.8</v>
      </c>
      <c r="P689" s="106">
        <f t="shared" si="419"/>
        <v>100</v>
      </c>
      <c r="Q689" s="98">
        <f t="shared" si="408"/>
        <v>110986.2</v>
      </c>
      <c r="R689" s="145" t="s">
        <v>9</v>
      </c>
      <c r="S689" s="146">
        <v>3588</v>
      </c>
      <c r="T689" s="146"/>
      <c r="U689" s="125">
        <f>U688</f>
        <v>11.87</v>
      </c>
      <c r="V689" s="98">
        <f t="shared" si="409"/>
        <v>42589.56</v>
      </c>
      <c r="W689" s="147">
        <f t="shared" si="410"/>
        <v>153575.76</v>
      </c>
      <c r="X689" s="2"/>
      <c r="Y689" s="148" t="s">
        <v>75</v>
      </c>
      <c r="Z689" s="149">
        <f t="shared" si="420"/>
        <v>65</v>
      </c>
      <c r="AA689" s="125">
        <f t="shared" si="421"/>
        <v>2008.8</v>
      </c>
      <c r="AB689" s="106">
        <f t="shared" si="422"/>
        <v>100</v>
      </c>
      <c r="AC689" s="98">
        <f t="shared" si="411"/>
        <v>110986.2</v>
      </c>
      <c r="AD689" s="145" t="s">
        <v>9</v>
      </c>
      <c r="AE689" s="146">
        <v>3588</v>
      </c>
      <c r="AF689" s="146"/>
      <c r="AG689" s="125">
        <f>AG688</f>
        <v>11.87</v>
      </c>
      <c r="AH689" s="98">
        <f t="shared" si="412"/>
        <v>42589.56</v>
      </c>
      <c r="AI689" s="147">
        <f t="shared" si="413"/>
        <v>153575.76</v>
      </c>
    </row>
    <row r="690" spans="1:35" ht="30" customHeight="1" x14ac:dyDescent="0.15">
      <c r="A690" s="232" t="s">
        <v>76</v>
      </c>
      <c r="B690" s="233">
        <f t="shared" si="414"/>
        <v>65</v>
      </c>
      <c r="C690" s="234">
        <f t="shared" si="415"/>
        <v>1296</v>
      </c>
      <c r="D690" s="235">
        <f t="shared" si="416"/>
        <v>100</v>
      </c>
      <c r="E690" s="228">
        <f t="shared" si="405"/>
        <v>71604</v>
      </c>
      <c r="F690" s="229" t="s">
        <v>9</v>
      </c>
      <c r="G690" s="230">
        <v>3978</v>
      </c>
      <c r="H690" s="230"/>
      <c r="I690" s="234">
        <f>I689</f>
        <v>16.87</v>
      </c>
      <c r="J690" s="228">
        <f t="shared" si="406"/>
        <v>67108.86</v>
      </c>
      <c r="K690" s="231">
        <f t="shared" si="407"/>
        <v>138712.85999999999</v>
      </c>
      <c r="L690" s="2"/>
      <c r="M690" s="148" t="s">
        <v>76</v>
      </c>
      <c r="N690" s="149">
        <f t="shared" si="417"/>
        <v>65</v>
      </c>
      <c r="O690" s="125">
        <f t="shared" si="418"/>
        <v>2008.8</v>
      </c>
      <c r="P690" s="106">
        <f t="shared" si="419"/>
        <v>100</v>
      </c>
      <c r="Q690" s="98">
        <f t="shared" si="408"/>
        <v>110986.2</v>
      </c>
      <c r="R690" s="145" t="s">
        <v>9</v>
      </c>
      <c r="S690" s="146">
        <v>3978</v>
      </c>
      <c r="T690" s="146"/>
      <c r="U690" s="125">
        <f>U689</f>
        <v>11.87</v>
      </c>
      <c r="V690" s="98">
        <f t="shared" si="409"/>
        <v>47218.86</v>
      </c>
      <c r="W690" s="147">
        <f t="shared" si="410"/>
        <v>158205.06</v>
      </c>
      <c r="X690" s="2"/>
      <c r="Y690" s="148" t="s">
        <v>76</v>
      </c>
      <c r="Z690" s="149">
        <f t="shared" si="420"/>
        <v>65</v>
      </c>
      <c r="AA690" s="125">
        <f t="shared" si="421"/>
        <v>2008.8</v>
      </c>
      <c r="AB690" s="106">
        <f t="shared" si="422"/>
        <v>100</v>
      </c>
      <c r="AC690" s="98">
        <f t="shared" si="411"/>
        <v>110986.2</v>
      </c>
      <c r="AD690" s="145" t="s">
        <v>9</v>
      </c>
      <c r="AE690" s="146">
        <v>3978</v>
      </c>
      <c r="AF690" s="146"/>
      <c r="AG690" s="125">
        <f>AG689</f>
        <v>11.87</v>
      </c>
      <c r="AH690" s="98">
        <f t="shared" si="412"/>
        <v>47218.86</v>
      </c>
      <c r="AI690" s="147">
        <f t="shared" si="413"/>
        <v>158205.06</v>
      </c>
    </row>
    <row r="691" spans="1:35" ht="30" customHeight="1" x14ac:dyDescent="0.15">
      <c r="A691" s="232" t="s">
        <v>77</v>
      </c>
      <c r="B691" s="233">
        <f t="shared" si="414"/>
        <v>65</v>
      </c>
      <c r="C691" s="234">
        <f t="shared" si="415"/>
        <v>1296</v>
      </c>
      <c r="D691" s="235">
        <f t="shared" si="416"/>
        <v>100</v>
      </c>
      <c r="E691" s="228">
        <f t="shared" si="405"/>
        <v>71604</v>
      </c>
      <c r="F691" s="229" t="s">
        <v>71</v>
      </c>
      <c r="G691" s="230">
        <v>5826</v>
      </c>
      <c r="H691" s="230"/>
      <c r="I691" s="226">
        <v>18.29</v>
      </c>
      <c r="J691" s="228">
        <f t="shared" si="406"/>
        <v>106557.54</v>
      </c>
      <c r="K691" s="231">
        <f t="shared" si="407"/>
        <v>178161.54</v>
      </c>
      <c r="L691" s="2"/>
      <c r="M691" s="148" t="s">
        <v>77</v>
      </c>
      <c r="N691" s="149">
        <f t="shared" si="417"/>
        <v>65</v>
      </c>
      <c r="O691" s="125">
        <f t="shared" si="418"/>
        <v>2008.8</v>
      </c>
      <c r="P691" s="106">
        <f t="shared" si="419"/>
        <v>100</v>
      </c>
      <c r="Q691" s="98">
        <f t="shared" si="408"/>
        <v>110986.2</v>
      </c>
      <c r="R691" s="145" t="s">
        <v>71</v>
      </c>
      <c r="S691" s="146">
        <v>5826</v>
      </c>
      <c r="T691" s="146"/>
      <c r="U691" s="124">
        <v>12.78</v>
      </c>
      <c r="V691" s="98">
        <f t="shared" si="409"/>
        <v>74456.28</v>
      </c>
      <c r="W691" s="147">
        <f t="shared" si="410"/>
        <v>185442.48</v>
      </c>
      <c r="X691" s="2"/>
      <c r="Y691" s="148" t="s">
        <v>77</v>
      </c>
      <c r="Z691" s="149">
        <f t="shared" si="420"/>
        <v>65</v>
      </c>
      <c r="AA691" s="125">
        <f t="shared" si="421"/>
        <v>2008.8</v>
      </c>
      <c r="AB691" s="106">
        <f t="shared" si="422"/>
        <v>100</v>
      </c>
      <c r="AC691" s="98">
        <f t="shared" si="411"/>
        <v>110986.2</v>
      </c>
      <c r="AD691" s="145" t="s">
        <v>71</v>
      </c>
      <c r="AE691" s="146">
        <v>5826</v>
      </c>
      <c r="AF691" s="146"/>
      <c r="AG691" s="124">
        <v>12.78</v>
      </c>
      <c r="AH691" s="98">
        <f t="shared" si="412"/>
        <v>74456.28</v>
      </c>
      <c r="AI691" s="147">
        <f t="shared" si="413"/>
        <v>185442.48</v>
      </c>
    </row>
    <row r="692" spans="1:35" ht="30" customHeight="1" x14ac:dyDescent="0.15">
      <c r="A692" s="232" t="s">
        <v>78</v>
      </c>
      <c r="B692" s="233">
        <f t="shared" si="414"/>
        <v>65</v>
      </c>
      <c r="C692" s="234">
        <f t="shared" si="415"/>
        <v>1296</v>
      </c>
      <c r="D692" s="235">
        <f t="shared" si="416"/>
        <v>100</v>
      </c>
      <c r="E692" s="228">
        <f t="shared" si="405"/>
        <v>71604</v>
      </c>
      <c r="F692" s="229" t="s">
        <v>71</v>
      </c>
      <c r="G692" s="230">
        <v>6090</v>
      </c>
      <c r="H692" s="230"/>
      <c r="I692" s="234">
        <f>I691</f>
        <v>18.29</v>
      </c>
      <c r="J692" s="228">
        <f t="shared" si="406"/>
        <v>111386.1</v>
      </c>
      <c r="K692" s="231">
        <f t="shared" si="407"/>
        <v>182990.1</v>
      </c>
      <c r="L692" s="2"/>
      <c r="M692" s="148" t="s">
        <v>78</v>
      </c>
      <c r="N692" s="149">
        <f t="shared" si="417"/>
        <v>65</v>
      </c>
      <c r="O692" s="125">
        <f t="shared" si="418"/>
        <v>2008.8</v>
      </c>
      <c r="P692" s="106">
        <f t="shared" si="419"/>
        <v>100</v>
      </c>
      <c r="Q692" s="98">
        <f t="shared" si="408"/>
        <v>110986.2</v>
      </c>
      <c r="R692" s="145" t="s">
        <v>71</v>
      </c>
      <c r="S692" s="146">
        <v>6090</v>
      </c>
      <c r="T692" s="146"/>
      <c r="U692" s="125">
        <f>U691</f>
        <v>12.78</v>
      </c>
      <c r="V692" s="98">
        <f t="shared" si="409"/>
        <v>77830.2</v>
      </c>
      <c r="W692" s="147">
        <f t="shared" si="410"/>
        <v>188816.4</v>
      </c>
      <c r="X692" s="2"/>
      <c r="Y692" s="148" t="s">
        <v>78</v>
      </c>
      <c r="Z692" s="149">
        <f t="shared" si="420"/>
        <v>65</v>
      </c>
      <c r="AA692" s="125">
        <f t="shared" si="421"/>
        <v>2008.8</v>
      </c>
      <c r="AB692" s="106">
        <f t="shared" si="422"/>
        <v>100</v>
      </c>
      <c r="AC692" s="98">
        <f t="shared" si="411"/>
        <v>110986.2</v>
      </c>
      <c r="AD692" s="145" t="s">
        <v>71</v>
      </c>
      <c r="AE692" s="146">
        <v>6090</v>
      </c>
      <c r="AF692" s="146"/>
      <c r="AG692" s="125">
        <f>AG691</f>
        <v>12.78</v>
      </c>
      <c r="AH692" s="98">
        <f t="shared" si="412"/>
        <v>77830.2</v>
      </c>
      <c r="AI692" s="147">
        <f t="shared" si="413"/>
        <v>188816.4</v>
      </c>
    </row>
    <row r="693" spans="1:35" ht="30" customHeight="1" x14ac:dyDescent="0.15">
      <c r="A693" s="232" t="s">
        <v>79</v>
      </c>
      <c r="B693" s="233">
        <f t="shared" si="414"/>
        <v>65</v>
      </c>
      <c r="C693" s="234">
        <f t="shared" si="415"/>
        <v>1296</v>
      </c>
      <c r="D693" s="235">
        <f t="shared" si="416"/>
        <v>100</v>
      </c>
      <c r="E693" s="228">
        <f t="shared" si="405"/>
        <v>71604</v>
      </c>
      <c r="F693" s="229" t="s">
        <v>71</v>
      </c>
      <c r="G693" s="230">
        <f>3734+934</f>
        <v>4668</v>
      </c>
      <c r="H693" s="230"/>
      <c r="I693" s="234">
        <f>I692</f>
        <v>18.29</v>
      </c>
      <c r="J693" s="228">
        <f t="shared" si="406"/>
        <v>85377.72</v>
      </c>
      <c r="K693" s="231">
        <f t="shared" si="407"/>
        <v>156981.72</v>
      </c>
      <c r="L693" s="2"/>
      <c r="M693" s="148" t="s">
        <v>79</v>
      </c>
      <c r="N693" s="149">
        <f t="shared" si="417"/>
        <v>65</v>
      </c>
      <c r="O693" s="125">
        <f t="shared" si="418"/>
        <v>2008.8</v>
      </c>
      <c r="P693" s="106">
        <f t="shared" si="419"/>
        <v>100</v>
      </c>
      <c r="Q693" s="98">
        <f t="shared" si="408"/>
        <v>110986.2</v>
      </c>
      <c r="R693" s="145" t="s">
        <v>71</v>
      </c>
      <c r="S693" s="146">
        <f>3734+934</f>
        <v>4668</v>
      </c>
      <c r="T693" s="146"/>
      <c r="U693" s="125">
        <f>U692</f>
        <v>12.78</v>
      </c>
      <c r="V693" s="98">
        <f t="shared" si="409"/>
        <v>59657.04</v>
      </c>
      <c r="W693" s="147">
        <f t="shared" si="410"/>
        <v>170643.24</v>
      </c>
      <c r="X693" s="2"/>
      <c r="Y693" s="148" t="s">
        <v>79</v>
      </c>
      <c r="Z693" s="149">
        <f t="shared" si="420"/>
        <v>65</v>
      </c>
      <c r="AA693" s="125">
        <f t="shared" si="421"/>
        <v>2008.8</v>
      </c>
      <c r="AB693" s="106">
        <f t="shared" si="422"/>
        <v>100</v>
      </c>
      <c r="AC693" s="98">
        <f t="shared" si="411"/>
        <v>110986.2</v>
      </c>
      <c r="AD693" s="145" t="s">
        <v>71</v>
      </c>
      <c r="AE693" s="146">
        <f>3734+934</f>
        <v>4668</v>
      </c>
      <c r="AF693" s="146"/>
      <c r="AG693" s="125">
        <f>AG692</f>
        <v>12.78</v>
      </c>
      <c r="AH693" s="98">
        <f t="shared" si="412"/>
        <v>59657.04</v>
      </c>
      <c r="AI693" s="147">
        <f t="shared" si="413"/>
        <v>170643.24</v>
      </c>
    </row>
    <row r="694" spans="1:35" ht="30" customHeight="1" x14ac:dyDescent="0.15">
      <c r="A694" s="232" t="s">
        <v>80</v>
      </c>
      <c r="B694" s="233">
        <f t="shared" si="414"/>
        <v>65</v>
      </c>
      <c r="C694" s="234">
        <f t="shared" si="415"/>
        <v>1296</v>
      </c>
      <c r="D694" s="235">
        <f t="shared" si="416"/>
        <v>100</v>
      </c>
      <c r="E694" s="228">
        <f t="shared" si="405"/>
        <v>71604</v>
      </c>
      <c r="F694" s="229" t="s">
        <v>9</v>
      </c>
      <c r="G694" s="230">
        <v>3276</v>
      </c>
      <c r="H694" s="230"/>
      <c r="I694" s="234">
        <f>I685</f>
        <v>16.87</v>
      </c>
      <c r="J694" s="228">
        <f t="shared" si="406"/>
        <v>55266.12</v>
      </c>
      <c r="K694" s="231">
        <f t="shared" si="407"/>
        <v>126870.12</v>
      </c>
      <c r="L694" s="2"/>
      <c r="M694" s="148" t="s">
        <v>80</v>
      </c>
      <c r="N694" s="149">
        <f t="shared" si="417"/>
        <v>65</v>
      </c>
      <c r="O694" s="125">
        <f t="shared" si="418"/>
        <v>2008.8</v>
      </c>
      <c r="P694" s="106">
        <f t="shared" si="419"/>
        <v>100</v>
      </c>
      <c r="Q694" s="98">
        <f t="shared" si="408"/>
        <v>110986.2</v>
      </c>
      <c r="R694" s="145" t="s">
        <v>9</v>
      </c>
      <c r="S694" s="146">
        <v>3276</v>
      </c>
      <c r="T694" s="146"/>
      <c r="U694" s="125">
        <f>U685</f>
        <v>11.87</v>
      </c>
      <c r="V694" s="98">
        <f t="shared" si="409"/>
        <v>38886.120000000003</v>
      </c>
      <c r="W694" s="147">
        <f t="shared" si="410"/>
        <v>149872.32000000001</v>
      </c>
      <c r="X694" s="2"/>
      <c r="Y694" s="148" t="s">
        <v>80</v>
      </c>
      <c r="Z694" s="149">
        <f t="shared" si="420"/>
        <v>65</v>
      </c>
      <c r="AA694" s="125">
        <f t="shared" si="421"/>
        <v>2008.8</v>
      </c>
      <c r="AB694" s="106">
        <f t="shared" si="422"/>
        <v>100</v>
      </c>
      <c r="AC694" s="98">
        <f t="shared" si="411"/>
        <v>110986.2</v>
      </c>
      <c r="AD694" s="145" t="s">
        <v>9</v>
      </c>
      <c r="AE694" s="146">
        <v>3276</v>
      </c>
      <c r="AF694" s="146"/>
      <c r="AG694" s="125">
        <f>AG685</f>
        <v>11.87</v>
      </c>
      <c r="AH694" s="98">
        <f t="shared" si="412"/>
        <v>38886.120000000003</v>
      </c>
      <c r="AI694" s="147">
        <f t="shared" si="413"/>
        <v>149872.32000000001</v>
      </c>
    </row>
    <row r="695" spans="1:35" ht="30" customHeight="1" x14ac:dyDescent="0.15">
      <c r="A695" s="232" t="s">
        <v>81</v>
      </c>
      <c r="B695" s="233">
        <f t="shared" si="414"/>
        <v>65</v>
      </c>
      <c r="C695" s="234">
        <f t="shared" si="415"/>
        <v>1296</v>
      </c>
      <c r="D695" s="235">
        <f t="shared" si="416"/>
        <v>100</v>
      </c>
      <c r="E695" s="228">
        <f t="shared" si="405"/>
        <v>71604</v>
      </c>
      <c r="F695" s="229" t="s">
        <v>9</v>
      </c>
      <c r="G695" s="230">
        <v>3048</v>
      </c>
      <c r="H695" s="230"/>
      <c r="I695" s="236">
        <f>I694</f>
        <v>16.87</v>
      </c>
      <c r="J695" s="228">
        <f t="shared" si="406"/>
        <v>51419.76</v>
      </c>
      <c r="K695" s="231">
        <f t="shared" si="407"/>
        <v>123023.76</v>
      </c>
      <c r="L695" s="2"/>
      <c r="M695" s="148" t="s">
        <v>81</v>
      </c>
      <c r="N695" s="149">
        <f t="shared" si="417"/>
        <v>65</v>
      </c>
      <c r="O695" s="125">
        <f t="shared" si="418"/>
        <v>2008.8</v>
      </c>
      <c r="P695" s="106">
        <f t="shared" si="419"/>
        <v>100</v>
      </c>
      <c r="Q695" s="98">
        <f t="shared" si="408"/>
        <v>110986.2</v>
      </c>
      <c r="R695" s="145" t="s">
        <v>9</v>
      </c>
      <c r="S695" s="146">
        <v>3048</v>
      </c>
      <c r="T695" s="146"/>
      <c r="U695" s="127">
        <f>U694</f>
        <v>11.87</v>
      </c>
      <c r="V695" s="98">
        <f t="shared" si="409"/>
        <v>36179.760000000002</v>
      </c>
      <c r="W695" s="147">
        <f t="shared" si="410"/>
        <v>147165.96</v>
      </c>
      <c r="X695" s="2"/>
      <c r="Y695" s="148" t="s">
        <v>81</v>
      </c>
      <c r="Z695" s="149">
        <f t="shared" si="420"/>
        <v>65</v>
      </c>
      <c r="AA695" s="125">
        <f t="shared" si="421"/>
        <v>2008.8</v>
      </c>
      <c r="AB695" s="106">
        <f t="shared" si="422"/>
        <v>100</v>
      </c>
      <c r="AC695" s="98">
        <f t="shared" si="411"/>
        <v>110986.2</v>
      </c>
      <c r="AD695" s="145" t="s">
        <v>9</v>
      </c>
      <c r="AE695" s="146">
        <v>3048</v>
      </c>
      <c r="AF695" s="146"/>
      <c r="AG695" s="127">
        <f>AG694</f>
        <v>11.87</v>
      </c>
      <c r="AH695" s="98">
        <f t="shared" si="412"/>
        <v>36179.760000000002</v>
      </c>
      <c r="AI695" s="147">
        <f t="shared" si="413"/>
        <v>147165.96</v>
      </c>
    </row>
    <row r="696" spans="1:35" ht="30" customHeight="1" thickBot="1" x14ac:dyDescent="0.2">
      <c r="A696" s="237" t="s">
        <v>82</v>
      </c>
      <c r="B696" s="238">
        <f t="shared" si="414"/>
        <v>65</v>
      </c>
      <c r="C696" s="239">
        <f t="shared" si="415"/>
        <v>1296</v>
      </c>
      <c r="D696" s="238">
        <f t="shared" si="416"/>
        <v>100</v>
      </c>
      <c r="E696" s="240">
        <f t="shared" si="405"/>
        <v>71604</v>
      </c>
      <c r="F696" s="241" t="s">
        <v>9</v>
      </c>
      <c r="G696" s="242">
        <v>2730</v>
      </c>
      <c r="H696" s="242"/>
      <c r="I696" s="239">
        <f>I695</f>
        <v>16.87</v>
      </c>
      <c r="J696" s="240">
        <f t="shared" si="406"/>
        <v>46055.1</v>
      </c>
      <c r="K696" s="243">
        <f t="shared" si="407"/>
        <v>117659.1</v>
      </c>
      <c r="L696" s="2"/>
      <c r="M696" s="150" t="s">
        <v>82</v>
      </c>
      <c r="N696" s="151">
        <f t="shared" si="417"/>
        <v>65</v>
      </c>
      <c r="O696" s="126">
        <f t="shared" si="418"/>
        <v>2008.8</v>
      </c>
      <c r="P696" s="152">
        <f t="shared" si="419"/>
        <v>100</v>
      </c>
      <c r="Q696" s="99">
        <f t="shared" si="408"/>
        <v>110986.2</v>
      </c>
      <c r="R696" s="153" t="s">
        <v>9</v>
      </c>
      <c r="S696" s="154">
        <v>2730</v>
      </c>
      <c r="T696" s="154"/>
      <c r="U696" s="126">
        <f>U695</f>
        <v>11.87</v>
      </c>
      <c r="V696" s="99">
        <f t="shared" si="409"/>
        <v>32405.1</v>
      </c>
      <c r="W696" s="155">
        <f t="shared" si="410"/>
        <v>143391.29999999999</v>
      </c>
      <c r="X696" s="2"/>
      <c r="Y696" s="150" t="s">
        <v>82</v>
      </c>
      <c r="Z696" s="151">
        <f t="shared" si="420"/>
        <v>65</v>
      </c>
      <c r="AA696" s="126">
        <f t="shared" si="421"/>
        <v>2008.8</v>
      </c>
      <c r="AB696" s="152">
        <f t="shared" si="422"/>
        <v>100</v>
      </c>
      <c r="AC696" s="99">
        <f t="shared" si="411"/>
        <v>110986.2</v>
      </c>
      <c r="AD696" s="153" t="s">
        <v>9</v>
      </c>
      <c r="AE696" s="154">
        <v>2730</v>
      </c>
      <c r="AF696" s="154"/>
      <c r="AG696" s="126">
        <f>AG695</f>
        <v>11.87</v>
      </c>
      <c r="AH696" s="99">
        <f t="shared" si="412"/>
        <v>32405.1</v>
      </c>
      <c r="AI696" s="155">
        <f t="shared" si="413"/>
        <v>143391.29999999999</v>
      </c>
    </row>
    <row r="697" spans="1:35" ht="30" customHeight="1" thickBot="1" x14ac:dyDescent="0.2">
      <c r="A697" s="251" t="s">
        <v>41</v>
      </c>
      <c r="B697" s="245"/>
      <c r="C697" s="245"/>
      <c r="D697" s="245"/>
      <c r="E697" s="246">
        <f>SUM(E685:E696)</f>
        <v>859248</v>
      </c>
      <c r="F697" s="247"/>
      <c r="G697" s="248">
        <f>SUM(G685:G696)</f>
        <v>53276</v>
      </c>
      <c r="H697" s="248"/>
      <c r="I697" s="245"/>
      <c r="J697" s="246">
        <f>SUM(J685:J696)</f>
        <v>922315.39999999991</v>
      </c>
      <c r="K697" s="249">
        <f>SUM(K685:K696)</f>
        <v>1781563.4000000001</v>
      </c>
      <c r="L697" s="89" t="s">
        <v>113</v>
      </c>
      <c r="M697" s="164" t="s">
        <v>41</v>
      </c>
      <c r="N697" s="157"/>
      <c r="O697" s="157"/>
      <c r="P697" s="157"/>
      <c r="Q697" s="158">
        <f>SUM(Q685:Q696)</f>
        <v>1331834.3999999997</v>
      </c>
      <c r="R697" s="159"/>
      <c r="S697" s="160">
        <f>SUM(S685:S696)</f>
        <v>53276</v>
      </c>
      <c r="T697" s="160"/>
      <c r="U697" s="157"/>
      <c r="V697" s="158">
        <f>SUM(V685:V696)</f>
        <v>647477.55999999994</v>
      </c>
      <c r="W697" s="161">
        <f>SUM(W685:W696)</f>
        <v>1979311.96</v>
      </c>
      <c r="X697" s="89" t="s">
        <v>113</v>
      </c>
      <c r="Y697" s="164" t="s">
        <v>41</v>
      </c>
      <c r="Z697" s="157"/>
      <c r="AA697" s="157"/>
      <c r="AB697" s="157"/>
      <c r="AC697" s="158">
        <f>SUM(AC685:AC696)</f>
        <v>1331834.3999999997</v>
      </c>
      <c r="AD697" s="159"/>
      <c r="AE697" s="160">
        <f>SUM(AE685:AE696)</f>
        <v>53276</v>
      </c>
      <c r="AF697" s="160"/>
      <c r="AG697" s="157"/>
      <c r="AH697" s="158">
        <f>SUM(AH685:AH696)</f>
        <v>647477.55999999994</v>
      </c>
      <c r="AI697" s="161">
        <f>SUM(AI685:AI696)</f>
        <v>1979311.96</v>
      </c>
    </row>
    <row r="698" spans="1:35" ht="15" customHeight="1" x14ac:dyDescent="0.15">
      <c r="A698" s="214"/>
      <c r="B698" s="250"/>
      <c r="C698" s="250"/>
      <c r="D698" s="250"/>
      <c r="E698" s="250"/>
      <c r="F698" s="250"/>
      <c r="G698" s="250"/>
      <c r="H698" s="250"/>
      <c r="I698" s="250"/>
      <c r="J698" s="250"/>
      <c r="K698" s="250"/>
      <c r="L698" s="89"/>
      <c r="N698" s="162"/>
      <c r="O698" s="162"/>
      <c r="P698" s="162"/>
      <c r="Q698" s="162"/>
      <c r="R698" s="162"/>
      <c r="S698" s="162"/>
      <c r="T698" s="162"/>
      <c r="U698" s="162"/>
      <c r="V698" s="162"/>
      <c r="W698" s="162"/>
      <c r="X698" s="89"/>
      <c r="Z698" s="162"/>
      <c r="AA698" s="162"/>
      <c r="AB698" s="162"/>
      <c r="AC698" s="162"/>
      <c r="AD698" s="162"/>
      <c r="AE698" s="162"/>
      <c r="AF698" s="162"/>
      <c r="AG698" s="162"/>
      <c r="AH698" s="162"/>
      <c r="AI698" s="162"/>
    </row>
    <row r="699" spans="1:35" x14ac:dyDescent="0.15">
      <c r="A699" s="211" t="s">
        <v>153</v>
      </c>
      <c r="B699" s="212">
        <f>B674+1</f>
        <v>26</v>
      </c>
      <c r="C699" s="213"/>
      <c r="D699" s="213"/>
      <c r="E699" s="213"/>
      <c r="F699" s="213"/>
      <c r="G699" s="213"/>
      <c r="H699" s="213"/>
      <c r="I699" s="213"/>
      <c r="J699" s="213"/>
      <c r="K699" s="692" t="str">
        <f>IF(K722-W722&lt;=0,"現状のまま","メニュー変更")</f>
        <v>現状のまま</v>
      </c>
      <c r="L699" s="2"/>
      <c r="M699" s="47" t="s">
        <v>153</v>
      </c>
      <c r="N699" s="62">
        <f>N674+1</f>
        <v>26</v>
      </c>
      <c r="X699" s="2"/>
      <c r="Y699" s="47" t="s">
        <v>153</v>
      </c>
      <c r="Z699" s="62" t="e">
        <f>Z674+1</f>
        <v>#REF!</v>
      </c>
    </row>
    <row r="700" spans="1:35" x14ac:dyDescent="0.15">
      <c r="A700" s="214"/>
      <c r="B700" s="213"/>
      <c r="C700" s="213"/>
      <c r="D700" s="213"/>
      <c r="E700" s="213"/>
      <c r="F700" s="213"/>
      <c r="G700" s="213"/>
      <c r="H700" s="213"/>
      <c r="I700" s="213"/>
      <c r="J700" s="213"/>
      <c r="K700" s="692"/>
      <c r="L700" s="2"/>
      <c r="X700" s="2"/>
    </row>
    <row r="701" spans="1:35" x14ac:dyDescent="0.15">
      <c r="A701" s="214"/>
      <c r="B701" s="213"/>
      <c r="C701" s="213"/>
      <c r="D701" s="213"/>
      <c r="E701" s="213"/>
      <c r="F701" s="213"/>
      <c r="G701" s="213"/>
      <c r="H701" s="213"/>
      <c r="I701" s="213"/>
      <c r="J701" s="213"/>
      <c r="K701" s="692"/>
      <c r="L701" s="2"/>
      <c r="X701" s="2"/>
    </row>
    <row r="702" spans="1:35" ht="17.25" x14ac:dyDescent="0.15">
      <c r="A702" s="694" t="str">
        <f>$A$5</f>
        <v>平成29年度小郡市役所庁舎外25施設電力需給</v>
      </c>
      <c r="B702" s="694"/>
      <c r="C702" s="694"/>
      <c r="D702" s="694"/>
      <c r="E702" s="694"/>
      <c r="F702" s="694"/>
      <c r="G702" s="694"/>
      <c r="H702" s="694"/>
      <c r="I702" s="694"/>
      <c r="J702" s="694"/>
      <c r="K702" s="694"/>
      <c r="L702" s="2"/>
      <c r="M702" s="553" t="str">
        <f>$A$5</f>
        <v>平成29年度小郡市役所庁舎外25施設電力需給</v>
      </c>
      <c r="N702" s="553"/>
      <c r="O702" s="553"/>
      <c r="P702" s="553"/>
      <c r="Q702" s="553"/>
      <c r="R702" s="553"/>
      <c r="S702" s="553"/>
      <c r="T702" s="553"/>
      <c r="U702" s="553"/>
      <c r="V702" s="553"/>
      <c r="W702" s="553"/>
      <c r="X702" s="2"/>
      <c r="Y702" s="553" t="str">
        <f>$A$5</f>
        <v>平成29年度小郡市役所庁舎外25施設電力需給</v>
      </c>
      <c r="Z702" s="553"/>
      <c r="AA702" s="553"/>
      <c r="AB702" s="553"/>
      <c r="AC702" s="553"/>
      <c r="AD702" s="553"/>
      <c r="AE702" s="553"/>
      <c r="AF702" s="553"/>
      <c r="AG702" s="553"/>
      <c r="AH702" s="553"/>
      <c r="AI702" s="553"/>
    </row>
    <row r="703" spans="1:35" x14ac:dyDescent="0.15">
      <c r="A703" s="689" t="str">
        <f>$A$6</f>
        <v>（平成３０年１月～平成３０年１２月期間中の予定金額）</v>
      </c>
      <c r="B703" s="689"/>
      <c r="C703" s="689"/>
      <c r="D703" s="689"/>
      <c r="E703" s="689"/>
      <c r="F703" s="689"/>
      <c r="G703" s="689"/>
      <c r="H703" s="689"/>
      <c r="I703" s="689"/>
      <c r="J703" s="689"/>
      <c r="K703" s="689"/>
      <c r="L703" s="2"/>
      <c r="M703" s="555" t="str">
        <f>$A$6</f>
        <v>（平成３０年１月～平成３０年１２月期間中の予定金額）</v>
      </c>
      <c r="N703" s="555"/>
      <c r="O703" s="555"/>
      <c r="P703" s="555"/>
      <c r="Q703" s="555"/>
      <c r="R703" s="555"/>
      <c r="S703" s="555"/>
      <c r="T703" s="555"/>
      <c r="U703" s="555"/>
      <c r="V703" s="555"/>
      <c r="W703" s="555"/>
      <c r="X703" s="2"/>
      <c r="Y703" s="555" t="str">
        <f>$A$6</f>
        <v>（平成３０年１月～平成３０年１２月期間中の予定金額）</v>
      </c>
      <c r="Z703" s="555"/>
      <c r="AA703" s="555"/>
      <c r="AB703" s="555"/>
      <c r="AC703" s="555"/>
      <c r="AD703" s="555"/>
      <c r="AE703" s="555"/>
      <c r="AF703" s="555"/>
      <c r="AG703" s="555"/>
      <c r="AH703" s="555"/>
      <c r="AI703" s="555"/>
    </row>
    <row r="704" spans="1:35" ht="14.25" thickBot="1" x14ac:dyDescent="0.2">
      <c r="A704" s="252" t="s">
        <v>128</v>
      </c>
      <c r="B704" s="213"/>
      <c r="C704" s="213"/>
      <c r="D704" s="213"/>
      <c r="E704" s="213"/>
      <c r="F704" s="213"/>
      <c r="G704" s="213"/>
      <c r="H704" s="213"/>
      <c r="I704" s="213"/>
      <c r="J704" s="213"/>
      <c r="K704" s="327" t="s">
        <v>142</v>
      </c>
      <c r="L704" s="2"/>
      <c r="M704" s="209" t="s">
        <v>128</v>
      </c>
      <c r="W704" s="47" t="s">
        <v>146</v>
      </c>
      <c r="X704" s="2"/>
      <c r="Y704" s="209" t="s">
        <v>128</v>
      </c>
      <c r="AI704" s="47" t="s">
        <v>146</v>
      </c>
    </row>
    <row r="705" spans="1:35" ht="18" customHeight="1" thickBot="1" x14ac:dyDescent="0.2">
      <c r="A705" s="695" t="s">
        <v>33</v>
      </c>
      <c r="B705" s="683" t="s">
        <v>24</v>
      </c>
      <c r="C705" s="684"/>
      <c r="D705" s="684"/>
      <c r="E705" s="685"/>
      <c r="F705" s="686" t="s">
        <v>34</v>
      </c>
      <c r="G705" s="687"/>
      <c r="H705" s="687"/>
      <c r="I705" s="687"/>
      <c r="J705" s="688"/>
      <c r="K705" s="667" t="s">
        <v>35</v>
      </c>
      <c r="L705" s="2"/>
      <c r="M705" s="567" t="s">
        <v>33</v>
      </c>
      <c r="N705" s="570" t="s">
        <v>24</v>
      </c>
      <c r="O705" s="571"/>
      <c r="P705" s="571"/>
      <c r="Q705" s="572"/>
      <c r="R705" s="573" t="s">
        <v>34</v>
      </c>
      <c r="S705" s="574"/>
      <c r="T705" s="574"/>
      <c r="U705" s="574"/>
      <c r="V705" s="575"/>
      <c r="W705" s="544" t="s">
        <v>35</v>
      </c>
      <c r="X705" s="2"/>
      <c r="Y705" s="567" t="s">
        <v>33</v>
      </c>
      <c r="Z705" s="570" t="s">
        <v>24</v>
      </c>
      <c r="AA705" s="571"/>
      <c r="AB705" s="571"/>
      <c r="AC705" s="572"/>
      <c r="AD705" s="573" t="s">
        <v>34</v>
      </c>
      <c r="AE705" s="574"/>
      <c r="AF705" s="574"/>
      <c r="AG705" s="574"/>
      <c r="AH705" s="575"/>
      <c r="AI705" s="544" t="s">
        <v>35</v>
      </c>
    </row>
    <row r="706" spans="1:35" ht="13.5" customHeight="1" x14ac:dyDescent="0.15">
      <c r="A706" s="696"/>
      <c r="B706" s="669" t="s">
        <v>28</v>
      </c>
      <c r="C706" s="667" t="s">
        <v>29</v>
      </c>
      <c r="D706" s="669" t="s">
        <v>25</v>
      </c>
      <c r="E706" s="678" t="s">
        <v>31</v>
      </c>
      <c r="F706" s="679" t="s">
        <v>36</v>
      </c>
      <c r="G706" s="680"/>
      <c r="H706" s="216"/>
      <c r="I706" s="667" t="s">
        <v>37</v>
      </c>
      <c r="J706" s="669" t="s">
        <v>38</v>
      </c>
      <c r="K706" s="668"/>
      <c r="L706" s="2"/>
      <c r="M706" s="568"/>
      <c r="N706" s="546" t="s">
        <v>28</v>
      </c>
      <c r="O706" s="544" t="s">
        <v>29</v>
      </c>
      <c r="P706" s="546" t="s">
        <v>25</v>
      </c>
      <c r="Q706" s="582" t="s">
        <v>31</v>
      </c>
      <c r="R706" s="540" t="s">
        <v>36</v>
      </c>
      <c r="S706" s="541"/>
      <c r="T706" s="135"/>
      <c r="U706" s="544" t="s">
        <v>37</v>
      </c>
      <c r="V706" s="546" t="s">
        <v>38</v>
      </c>
      <c r="W706" s="545"/>
      <c r="X706" s="2"/>
      <c r="Y706" s="568"/>
      <c r="Z706" s="546" t="s">
        <v>28</v>
      </c>
      <c r="AA706" s="544" t="s">
        <v>29</v>
      </c>
      <c r="AB706" s="546" t="s">
        <v>25</v>
      </c>
      <c r="AC706" s="582" t="s">
        <v>31</v>
      </c>
      <c r="AD706" s="540" t="s">
        <v>36</v>
      </c>
      <c r="AE706" s="541"/>
      <c r="AF706" s="135"/>
      <c r="AG706" s="544" t="s">
        <v>37</v>
      </c>
      <c r="AH706" s="546" t="s">
        <v>38</v>
      </c>
      <c r="AI706" s="545"/>
    </row>
    <row r="707" spans="1:35" x14ac:dyDescent="0.15">
      <c r="A707" s="696"/>
      <c r="B707" s="669"/>
      <c r="C707" s="668"/>
      <c r="D707" s="669"/>
      <c r="E707" s="669"/>
      <c r="F707" s="681"/>
      <c r="G707" s="682"/>
      <c r="H707" s="217"/>
      <c r="I707" s="668"/>
      <c r="J707" s="669"/>
      <c r="K707" s="668"/>
      <c r="L707" s="2"/>
      <c r="M707" s="568"/>
      <c r="N707" s="546"/>
      <c r="O707" s="545"/>
      <c r="P707" s="546"/>
      <c r="Q707" s="546"/>
      <c r="R707" s="542"/>
      <c r="S707" s="543"/>
      <c r="T707" s="136"/>
      <c r="U707" s="545"/>
      <c r="V707" s="546"/>
      <c r="W707" s="545"/>
      <c r="X707" s="2"/>
      <c r="Y707" s="568"/>
      <c r="Z707" s="546"/>
      <c r="AA707" s="545"/>
      <c r="AB707" s="546"/>
      <c r="AC707" s="546"/>
      <c r="AD707" s="542"/>
      <c r="AE707" s="543"/>
      <c r="AF707" s="136"/>
      <c r="AG707" s="545"/>
      <c r="AH707" s="546"/>
      <c r="AI707" s="545"/>
    </row>
    <row r="708" spans="1:35" ht="23.25" customHeight="1" x14ac:dyDescent="0.15">
      <c r="A708" s="696"/>
      <c r="B708" s="218" t="s">
        <v>13</v>
      </c>
      <c r="C708" s="219" t="s">
        <v>30</v>
      </c>
      <c r="D708" s="218" t="s">
        <v>14</v>
      </c>
      <c r="E708" s="218" t="s">
        <v>40</v>
      </c>
      <c r="F708" s="665" t="s">
        <v>15</v>
      </c>
      <c r="G708" s="666"/>
      <c r="H708" s="220"/>
      <c r="I708" s="219" t="s">
        <v>30</v>
      </c>
      <c r="J708" s="218" t="s">
        <v>40</v>
      </c>
      <c r="K708" s="218" t="s">
        <v>40</v>
      </c>
      <c r="L708" s="2"/>
      <c r="M708" s="568"/>
      <c r="N708" s="137" t="s">
        <v>152</v>
      </c>
      <c r="O708" s="138" t="s">
        <v>30</v>
      </c>
      <c r="P708" s="137" t="s">
        <v>14</v>
      </c>
      <c r="Q708" s="137" t="s">
        <v>40</v>
      </c>
      <c r="R708" s="549" t="s">
        <v>15</v>
      </c>
      <c r="S708" s="550"/>
      <c r="T708" s="139"/>
      <c r="U708" s="138" t="s">
        <v>30</v>
      </c>
      <c r="V708" s="137" t="s">
        <v>40</v>
      </c>
      <c r="W708" s="137" t="s">
        <v>40</v>
      </c>
      <c r="X708" s="2"/>
      <c r="Y708" s="568"/>
      <c r="Z708" s="137" t="s">
        <v>152</v>
      </c>
      <c r="AA708" s="138" t="s">
        <v>30</v>
      </c>
      <c r="AB708" s="137" t="s">
        <v>14</v>
      </c>
      <c r="AC708" s="137" t="s">
        <v>40</v>
      </c>
      <c r="AD708" s="549" t="s">
        <v>15</v>
      </c>
      <c r="AE708" s="550"/>
      <c r="AF708" s="139"/>
      <c r="AG708" s="138" t="s">
        <v>30</v>
      </c>
      <c r="AH708" s="137" t="s">
        <v>40</v>
      </c>
      <c r="AI708" s="137" t="s">
        <v>40</v>
      </c>
    </row>
    <row r="709" spans="1:35" ht="15.75" customHeight="1" thickBot="1" x14ac:dyDescent="0.2">
      <c r="A709" s="697"/>
      <c r="B709" s="221" t="s">
        <v>16</v>
      </c>
      <c r="C709" s="221" t="s">
        <v>17</v>
      </c>
      <c r="D709" s="221" t="s">
        <v>18</v>
      </c>
      <c r="E709" s="221" t="s">
        <v>19</v>
      </c>
      <c r="F709" s="222"/>
      <c r="G709" s="223" t="s">
        <v>20</v>
      </c>
      <c r="H709" s="223"/>
      <c r="I709" s="221" t="s">
        <v>21</v>
      </c>
      <c r="J709" s="221" t="s">
        <v>22</v>
      </c>
      <c r="K709" s="223" t="s">
        <v>23</v>
      </c>
      <c r="L709" s="2"/>
      <c r="M709" s="569"/>
      <c r="N709" s="122" t="s">
        <v>16</v>
      </c>
      <c r="O709" s="122" t="s">
        <v>17</v>
      </c>
      <c r="P709" s="122" t="s">
        <v>18</v>
      </c>
      <c r="Q709" s="122" t="s">
        <v>19</v>
      </c>
      <c r="R709" s="140"/>
      <c r="S709" s="141" t="s">
        <v>20</v>
      </c>
      <c r="T709" s="141"/>
      <c r="U709" s="122" t="s">
        <v>21</v>
      </c>
      <c r="V709" s="122" t="s">
        <v>22</v>
      </c>
      <c r="W709" s="141" t="s">
        <v>23</v>
      </c>
      <c r="X709" s="2"/>
      <c r="Y709" s="569"/>
      <c r="Z709" s="122" t="s">
        <v>16</v>
      </c>
      <c r="AA709" s="122" t="s">
        <v>17</v>
      </c>
      <c r="AB709" s="122" t="s">
        <v>18</v>
      </c>
      <c r="AC709" s="122" t="s">
        <v>19</v>
      </c>
      <c r="AD709" s="140"/>
      <c r="AE709" s="141" t="s">
        <v>20</v>
      </c>
      <c r="AF709" s="141"/>
      <c r="AG709" s="122" t="s">
        <v>21</v>
      </c>
      <c r="AH709" s="122" t="s">
        <v>22</v>
      </c>
      <c r="AI709" s="141" t="s">
        <v>23</v>
      </c>
    </row>
    <row r="710" spans="1:35" ht="30" customHeight="1" x14ac:dyDescent="0.15">
      <c r="A710" s="224" t="s">
        <v>83</v>
      </c>
      <c r="B710" s="225">
        <v>127</v>
      </c>
      <c r="C710" s="226">
        <v>1350</v>
      </c>
      <c r="D710" s="225">
        <v>100</v>
      </c>
      <c r="E710" s="228">
        <f t="shared" ref="E710:E721" si="423">ROUNDDOWN(B710*C710*((185-D710)/100),2)</f>
        <v>145732.5</v>
      </c>
      <c r="F710" s="229" t="s">
        <v>85</v>
      </c>
      <c r="G710" s="230">
        <v>14353</v>
      </c>
      <c r="H710" s="230"/>
      <c r="I710" s="226">
        <v>14.54</v>
      </c>
      <c r="J710" s="228">
        <f t="shared" ref="J710:J721" si="424">ROUNDDOWN(G710*I710,2)</f>
        <v>208692.62</v>
      </c>
      <c r="K710" s="231">
        <f t="shared" ref="K710:K721" si="425">ROUNDDOWN(J710+E710,2)</f>
        <v>354425.12</v>
      </c>
      <c r="L710" s="2"/>
      <c r="M710" s="142" t="s">
        <v>83</v>
      </c>
      <c r="N710" s="143">
        <v>127</v>
      </c>
      <c r="O710" s="123">
        <v>2008.8</v>
      </c>
      <c r="P710" s="163">
        <v>100</v>
      </c>
      <c r="Q710" s="98">
        <f t="shared" ref="Q710:Q721" si="426">ROUNDDOWN(N710*O710*((185-P710)/100),2)</f>
        <v>216849.96</v>
      </c>
      <c r="R710" s="145" t="s">
        <v>85</v>
      </c>
      <c r="S710" s="146">
        <v>14353</v>
      </c>
      <c r="T710" s="146"/>
      <c r="U710" s="124">
        <v>11.44</v>
      </c>
      <c r="V710" s="98">
        <f t="shared" ref="V710:V721" si="427">ROUNDDOWN(S710*U710,2)</f>
        <v>164198.32</v>
      </c>
      <c r="W710" s="147">
        <f t="shared" ref="W710:W721" si="428">ROUNDDOWN(V710+Q710,2)</f>
        <v>381048.28</v>
      </c>
      <c r="X710" s="2"/>
      <c r="Y710" s="142" t="s">
        <v>83</v>
      </c>
      <c r="Z710" s="143">
        <v>109</v>
      </c>
      <c r="AA710" s="123">
        <v>2008.8</v>
      </c>
      <c r="AB710" s="163">
        <v>100</v>
      </c>
      <c r="AC710" s="98">
        <f t="shared" ref="AC710:AC721" si="429">ROUNDDOWN(Z710*AA710*((185-AB710)/100),2)</f>
        <v>186115.32</v>
      </c>
      <c r="AD710" s="145" t="s">
        <v>85</v>
      </c>
      <c r="AE710" s="146">
        <v>14353</v>
      </c>
      <c r="AF710" s="146"/>
      <c r="AG710" s="124">
        <v>11.44</v>
      </c>
      <c r="AH710" s="98">
        <f t="shared" ref="AH710:AH721" si="430">ROUNDDOWN(AE710*AG710,2)</f>
        <v>164198.32</v>
      </c>
      <c r="AI710" s="147">
        <f t="shared" ref="AI710:AI721" si="431">ROUNDDOWN(AH710+AC710,2)</f>
        <v>350313.64</v>
      </c>
    </row>
    <row r="711" spans="1:35" ht="30" customHeight="1" x14ac:dyDescent="0.15">
      <c r="A711" s="232" t="s">
        <v>72</v>
      </c>
      <c r="B711" s="233">
        <f t="shared" ref="B711:B721" si="432">B710</f>
        <v>127</v>
      </c>
      <c r="C711" s="234">
        <f t="shared" ref="C711:C721" si="433">C710</f>
        <v>1350</v>
      </c>
      <c r="D711" s="235">
        <f t="shared" ref="D711:D721" si="434">D710</f>
        <v>100</v>
      </c>
      <c r="E711" s="228">
        <f t="shared" si="423"/>
        <v>145732.5</v>
      </c>
      <c r="F711" s="229" t="s">
        <v>112</v>
      </c>
      <c r="G711" s="230">
        <v>15088</v>
      </c>
      <c r="H711" s="230"/>
      <c r="I711" s="234">
        <f>I710</f>
        <v>14.54</v>
      </c>
      <c r="J711" s="228">
        <f t="shared" si="424"/>
        <v>219379.52</v>
      </c>
      <c r="K711" s="231">
        <f t="shared" si="425"/>
        <v>365112.02</v>
      </c>
      <c r="L711" s="2"/>
      <c r="M711" s="148" t="s">
        <v>72</v>
      </c>
      <c r="N711" s="149">
        <f t="shared" ref="N711:N721" si="435">N710</f>
        <v>127</v>
      </c>
      <c r="O711" s="125">
        <f t="shared" ref="O711:O721" si="436">O710</f>
        <v>2008.8</v>
      </c>
      <c r="P711" s="106">
        <f t="shared" ref="P711:P721" si="437">P710</f>
        <v>100</v>
      </c>
      <c r="Q711" s="98">
        <f t="shared" si="426"/>
        <v>216849.96</v>
      </c>
      <c r="R711" s="145" t="s">
        <v>112</v>
      </c>
      <c r="S711" s="146">
        <v>15088</v>
      </c>
      <c r="T711" s="146"/>
      <c r="U711" s="125">
        <f>U710</f>
        <v>11.44</v>
      </c>
      <c r="V711" s="98">
        <f t="shared" si="427"/>
        <v>172606.72</v>
      </c>
      <c r="W711" s="147">
        <f t="shared" si="428"/>
        <v>389456.68</v>
      </c>
      <c r="X711" s="2"/>
      <c r="Y711" s="148" t="s">
        <v>72</v>
      </c>
      <c r="Z711" s="149">
        <f t="shared" ref="Z711:Z721" si="438">Z710</f>
        <v>109</v>
      </c>
      <c r="AA711" s="125">
        <f t="shared" ref="AA711:AA721" si="439">AA710</f>
        <v>2008.8</v>
      </c>
      <c r="AB711" s="106">
        <f t="shared" ref="AB711:AB721" si="440">AB710</f>
        <v>100</v>
      </c>
      <c r="AC711" s="98">
        <f t="shared" si="429"/>
        <v>186115.32</v>
      </c>
      <c r="AD711" s="145" t="s">
        <v>112</v>
      </c>
      <c r="AE711" s="146">
        <v>15088</v>
      </c>
      <c r="AF711" s="146"/>
      <c r="AG711" s="125">
        <f>AG710</f>
        <v>11.44</v>
      </c>
      <c r="AH711" s="98">
        <f t="shared" si="430"/>
        <v>172606.72</v>
      </c>
      <c r="AI711" s="147">
        <f t="shared" si="431"/>
        <v>358722.04</v>
      </c>
    </row>
    <row r="712" spans="1:35" ht="30" customHeight="1" x14ac:dyDescent="0.15">
      <c r="A712" s="232" t="s">
        <v>73</v>
      </c>
      <c r="B712" s="233">
        <f t="shared" si="432"/>
        <v>127</v>
      </c>
      <c r="C712" s="234">
        <f t="shared" si="433"/>
        <v>1350</v>
      </c>
      <c r="D712" s="235">
        <f t="shared" si="434"/>
        <v>100</v>
      </c>
      <c r="E712" s="228">
        <f t="shared" si="423"/>
        <v>145732.5</v>
      </c>
      <c r="F712" s="229" t="s">
        <v>9</v>
      </c>
      <c r="G712" s="230">
        <v>13708</v>
      </c>
      <c r="H712" s="230"/>
      <c r="I712" s="234">
        <f>I711</f>
        <v>14.54</v>
      </c>
      <c r="J712" s="228">
        <f t="shared" si="424"/>
        <v>199314.32</v>
      </c>
      <c r="K712" s="231">
        <f t="shared" si="425"/>
        <v>345046.82</v>
      </c>
      <c r="L712" s="2"/>
      <c r="M712" s="148" t="s">
        <v>73</v>
      </c>
      <c r="N712" s="149">
        <f t="shared" si="435"/>
        <v>127</v>
      </c>
      <c r="O712" s="125">
        <f t="shared" si="436"/>
        <v>2008.8</v>
      </c>
      <c r="P712" s="106">
        <f t="shared" si="437"/>
        <v>100</v>
      </c>
      <c r="Q712" s="98">
        <f t="shared" si="426"/>
        <v>216849.96</v>
      </c>
      <c r="R712" s="145" t="s">
        <v>9</v>
      </c>
      <c r="S712" s="146">
        <v>13708</v>
      </c>
      <c r="T712" s="146"/>
      <c r="U712" s="125">
        <f>U711</f>
        <v>11.44</v>
      </c>
      <c r="V712" s="98">
        <f t="shared" si="427"/>
        <v>156819.51999999999</v>
      </c>
      <c r="W712" s="147">
        <f t="shared" si="428"/>
        <v>373669.48</v>
      </c>
      <c r="X712" s="2"/>
      <c r="Y712" s="148" t="s">
        <v>73</v>
      </c>
      <c r="Z712" s="149">
        <f t="shared" si="438"/>
        <v>109</v>
      </c>
      <c r="AA712" s="125">
        <f t="shared" si="439"/>
        <v>2008.8</v>
      </c>
      <c r="AB712" s="106">
        <f t="shared" si="440"/>
        <v>100</v>
      </c>
      <c r="AC712" s="98">
        <f t="shared" si="429"/>
        <v>186115.32</v>
      </c>
      <c r="AD712" s="145" t="s">
        <v>9</v>
      </c>
      <c r="AE712" s="146">
        <v>13708</v>
      </c>
      <c r="AF712" s="146"/>
      <c r="AG712" s="125">
        <f>AG711</f>
        <v>11.44</v>
      </c>
      <c r="AH712" s="98">
        <f t="shared" si="430"/>
        <v>156819.51999999999</v>
      </c>
      <c r="AI712" s="147">
        <f t="shared" si="431"/>
        <v>342934.84</v>
      </c>
    </row>
    <row r="713" spans="1:35" ht="30" customHeight="1" x14ac:dyDescent="0.15">
      <c r="A713" s="232" t="s">
        <v>74</v>
      </c>
      <c r="B713" s="233">
        <f t="shared" si="432"/>
        <v>127</v>
      </c>
      <c r="C713" s="234">
        <f t="shared" si="433"/>
        <v>1350</v>
      </c>
      <c r="D713" s="235">
        <f t="shared" si="434"/>
        <v>100</v>
      </c>
      <c r="E713" s="228">
        <f t="shared" si="423"/>
        <v>145732.5</v>
      </c>
      <c r="F713" s="229" t="s">
        <v>9</v>
      </c>
      <c r="G713" s="230">
        <v>12300</v>
      </c>
      <c r="H713" s="230"/>
      <c r="I713" s="234">
        <f>I712</f>
        <v>14.54</v>
      </c>
      <c r="J713" s="228">
        <f t="shared" si="424"/>
        <v>178842</v>
      </c>
      <c r="K713" s="231">
        <f t="shared" si="425"/>
        <v>324574.5</v>
      </c>
      <c r="L713" s="2"/>
      <c r="M713" s="148" t="s">
        <v>74</v>
      </c>
      <c r="N713" s="149">
        <f t="shared" si="435"/>
        <v>127</v>
      </c>
      <c r="O713" s="125">
        <f t="shared" si="436"/>
        <v>2008.8</v>
      </c>
      <c r="P713" s="106">
        <f t="shared" si="437"/>
        <v>100</v>
      </c>
      <c r="Q713" s="98">
        <f t="shared" si="426"/>
        <v>216849.96</v>
      </c>
      <c r="R713" s="145" t="s">
        <v>9</v>
      </c>
      <c r="S713" s="146">
        <v>12300</v>
      </c>
      <c r="T713" s="146"/>
      <c r="U713" s="125">
        <f>U712</f>
        <v>11.44</v>
      </c>
      <c r="V713" s="98">
        <f t="shared" si="427"/>
        <v>140712</v>
      </c>
      <c r="W713" s="147">
        <f t="shared" si="428"/>
        <v>357561.96</v>
      </c>
      <c r="X713" s="2"/>
      <c r="Y713" s="148" t="s">
        <v>74</v>
      </c>
      <c r="Z713" s="149">
        <f t="shared" si="438"/>
        <v>109</v>
      </c>
      <c r="AA713" s="125">
        <f t="shared" si="439"/>
        <v>2008.8</v>
      </c>
      <c r="AB713" s="106">
        <f t="shared" si="440"/>
        <v>100</v>
      </c>
      <c r="AC713" s="98">
        <f t="shared" si="429"/>
        <v>186115.32</v>
      </c>
      <c r="AD713" s="145" t="s">
        <v>9</v>
      </c>
      <c r="AE713" s="146">
        <v>12300</v>
      </c>
      <c r="AF713" s="146"/>
      <c r="AG713" s="125">
        <f>AG712</f>
        <v>11.44</v>
      </c>
      <c r="AH713" s="98">
        <f t="shared" si="430"/>
        <v>140712</v>
      </c>
      <c r="AI713" s="147">
        <f t="shared" si="431"/>
        <v>326827.32</v>
      </c>
    </row>
    <row r="714" spans="1:35" ht="30" customHeight="1" x14ac:dyDescent="0.15">
      <c r="A714" s="232" t="s">
        <v>75</v>
      </c>
      <c r="B714" s="233">
        <f t="shared" si="432"/>
        <v>127</v>
      </c>
      <c r="C714" s="234">
        <f t="shared" si="433"/>
        <v>1350</v>
      </c>
      <c r="D714" s="235">
        <f t="shared" si="434"/>
        <v>100</v>
      </c>
      <c r="E714" s="228">
        <f t="shared" si="423"/>
        <v>145732.5</v>
      </c>
      <c r="F714" s="229" t="s">
        <v>9</v>
      </c>
      <c r="G714" s="230">
        <v>14004</v>
      </c>
      <c r="H714" s="230"/>
      <c r="I714" s="234">
        <f>I713</f>
        <v>14.54</v>
      </c>
      <c r="J714" s="228">
        <f t="shared" si="424"/>
        <v>203618.16</v>
      </c>
      <c r="K714" s="231">
        <f t="shared" si="425"/>
        <v>349350.66</v>
      </c>
      <c r="L714" s="2"/>
      <c r="M714" s="148" t="s">
        <v>75</v>
      </c>
      <c r="N714" s="149">
        <f t="shared" si="435"/>
        <v>127</v>
      </c>
      <c r="O714" s="125">
        <f t="shared" si="436"/>
        <v>2008.8</v>
      </c>
      <c r="P714" s="106">
        <f t="shared" si="437"/>
        <v>100</v>
      </c>
      <c r="Q714" s="98">
        <f t="shared" si="426"/>
        <v>216849.96</v>
      </c>
      <c r="R714" s="145" t="s">
        <v>9</v>
      </c>
      <c r="S714" s="146">
        <v>14004</v>
      </c>
      <c r="T714" s="146"/>
      <c r="U714" s="125">
        <f>U713</f>
        <v>11.44</v>
      </c>
      <c r="V714" s="98">
        <f t="shared" si="427"/>
        <v>160205.76000000001</v>
      </c>
      <c r="W714" s="147">
        <f t="shared" si="428"/>
        <v>377055.72</v>
      </c>
      <c r="X714" s="2"/>
      <c r="Y714" s="148" t="s">
        <v>75</v>
      </c>
      <c r="Z714" s="149">
        <f t="shared" si="438"/>
        <v>109</v>
      </c>
      <c r="AA714" s="125">
        <f t="shared" si="439"/>
        <v>2008.8</v>
      </c>
      <c r="AB714" s="106">
        <f t="shared" si="440"/>
        <v>100</v>
      </c>
      <c r="AC714" s="98">
        <f t="shared" si="429"/>
        <v>186115.32</v>
      </c>
      <c r="AD714" s="145" t="s">
        <v>9</v>
      </c>
      <c r="AE714" s="146">
        <v>14004</v>
      </c>
      <c r="AF714" s="146"/>
      <c r="AG714" s="125">
        <f>AG713</f>
        <v>11.44</v>
      </c>
      <c r="AH714" s="98">
        <f t="shared" si="430"/>
        <v>160205.76000000001</v>
      </c>
      <c r="AI714" s="147">
        <f t="shared" si="431"/>
        <v>346321.08</v>
      </c>
    </row>
    <row r="715" spans="1:35" ht="30" customHeight="1" x14ac:dyDescent="0.15">
      <c r="A715" s="232" t="s">
        <v>76</v>
      </c>
      <c r="B715" s="233">
        <f t="shared" si="432"/>
        <v>127</v>
      </c>
      <c r="C715" s="234">
        <f t="shared" si="433"/>
        <v>1350</v>
      </c>
      <c r="D715" s="235">
        <f t="shared" si="434"/>
        <v>100</v>
      </c>
      <c r="E715" s="228">
        <f t="shared" si="423"/>
        <v>145732.5</v>
      </c>
      <c r="F715" s="229" t="s">
        <v>9</v>
      </c>
      <c r="G715" s="230">
        <v>16176</v>
      </c>
      <c r="H715" s="230"/>
      <c r="I715" s="234">
        <f>I714</f>
        <v>14.54</v>
      </c>
      <c r="J715" s="228">
        <f t="shared" si="424"/>
        <v>235199.04</v>
      </c>
      <c r="K715" s="231">
        <f t="shared" si="425"/>
        <v>380931.54</v>
      </c>
      <c r="L715" s="2"/>
      <c r="M715" s="148" t="s">
        <v>76</v>
      </c>
      <c r="N715" s="149">
        <f t="shared" si="435"/>
        <v>127</v>
      </c>
      <c r="O715" s="125">
        <f t="shared" si="436"/>
        <v>2008.8</v>
      </c>
      <c r="P715" s="106">
        <f t="shared" si="437"/>
        <v>100</v>
      </c>
      <c r="Q715" s="98">
        <f t="shared" si="426"/>
        <v>216849.96</v>
      </c>
      <c r="R715" s="145" t="s">
        <v>9</v>
      </c>
      <c r="S715" s="146">
        <v>16176</v>
      </c>
      <c r="T715" s="146"/>
      <c r="U715" s="125">
        <f>U714</f>
        <v>11.44</v>
      </c>
      <c r="V715" s="98">
        <f t="shared" si="427"/>
        <v>185053.44</v>
      </c>
      <c r="W715" s="147">
        <f t="shared" si="428"/>
        <v>401903.4</v>
      </c>
      <c r="X715" s="2"/>
      <c r="Y715" s="148" t="s">
        <v>76</v>
      </c>
      <c r="Z715" s="149">
        <f t="shared" si="438"/>
        <v>109</v>
      </c>
      <c r="AA715" s="125">
        <f t="shared" si="439"/>
        <v>2008.8</v>
      </c>
      <c r="AB715" s="106">
        <f t="shared" si="440"/>
        <v>100</v>
      </c>
      <c r="AC715" s="98">
        <f t="shared" si="429"/>
        <v>186115.32</v>
      </c>
      <c r="AD715" s="145" t="s">
        <v>9</v>
      </c>
      <c r="AE715" s="146">
        <v>16176</v>
      </c>
      <c r="AF715" s="146"/>
      <c r="AG715" s="125">
        <f>AG714</f>
        <v>11.44</v>
      </c>
      <c r="AH715" s="98">
        <f t="shared" si="430"/>
        <v>185053.44</v>
      </c>
      <c r="AI715" s="147">
        <f t="shared" si="431"/>
        <v>371168.76</v>
      </c>
    </row>
    <row r="716" spans="1:35" ht="30" customHeight="1" x14ac:dyDescent="0.15">
      <c r="A716" s="232" t="s">
        <v>77</v>
      </c>
      <c r="B716" s="233">
        <f t="shared" si="432"/>
        <v>127</v>
      </c>
      <c r="C716" s="234">
        <f t="shared" si="433"/>
        <v>1350</v>
      </c>
      <c r="D716" s="235">
        <f t="shared" si="434"/>
        <v>100</v>
      </c>
      <c r="E716" s="228">
        <f t="shared" si="423"/>
        <v>145732.5</v>
      </c>
      <c r="F716" s="229" t="s">
        <v>71</v>
      </c>
      <c r="G716" s="230">
        <v>13152</v>
      </c>
      <c r="H716" s="230"/>
      <c r="I716" s="226">
        <v>15.74</v>
      </c>
      <c r="J716" s="228">
        <f t="shared" si="424"/>
        <v>207012.48000000001</v>
      </c>
      <c r="K716" s="231">
        <f t="shared" si="425"/>
        <v>352744.98</v>
      </c>
      <c r="L716" s="2"/>
      <c r="M716" s="148" t="s">
        <v>77</v>
      </c>
      <c r="N716" s="149">
        <f t="shared" si="435"/>
        <v>127</v>
      </c>
      <c r="O716" s="125">
        <f t="shared" si="436"/>
        <v>2008.8</v>
      </c>
      <c r="P716" s="106">
        <f t="shared" si="437"/>
        <v>100</v>
      </c>
      <c r="Q716" s="98">
        <f t="shared" si="426"/>
        <v>216849.96</v>
      </c>
      <c r="R716" s="145" t="s">
        <v>71</v>
      </c>
      <c r="S716" s="146">
        <v>13152</v>
      </c>
      <c r="T716" s="146"/>
      <c r="U716" s="124">
        <v>12.31</v>
      </c>
      <c r="V716" s="98">
        <f t="shared" si="427"/>
        <v>161901.12</v>
      </c>
      <c r="W716" s="147">
        <f t="shared" si="428"/>
        <v>378751.08</v>
      </c>
      <c r="X716" s="2"/>
      <c r="Y716" s="148" t="s">
        <v>77</v>
      </c>
      <c r="Z716" s="149">
        <f t="shared" si="438"/>
        <v>109</v>
      </c>
      <c r="AA716" s="125">
        <f t="shared" si="439"/>
        <v>2008.8</v>
      </c>
      <c r="AB716" s="106">
        <f t="shared" si="440"/>
        <v>100</v>
      </c>
      <c r="AC716" s="98">
        <f t="shared" si="429"/>
        <v>186115.32</v>
      </c>
      <c r="AD716" s="145" t="s">
        <v>71</v>
      </c>
      <c r="AE716" s="146">
        <v>13152</v>
      </c>
      <c r="AF716" s="146"/>
      <c r="AG716" s="124">
        <v>12.31</v>
      </c>
      <c r="AH716" s="98">
        <f t="shared" si="430"/>
        <v>161901.12</v>
      </c>
      <c r="AI716" s="147">
        <f t="shared" si="431"/>
        <v>348016.44</v>
      </c>
    </row>
    <row r="717" spans="1:35" ht="30" customHeight="1" x14ac:dyDescent="0.15">
      <c r="A717" s="232" t="s">
        <v>78</v>
      </c>
      <c r="B717" s="233">
        <f t="shared" si="432"/>
        <v>127</v>
      </c>
      <c r="C717" s="234">
        <f t="shared" si="433"/>
        <v>1350</v>
      </c>
      <c r="D717" s="235">
        <f t="shared" si="434"/>
        <v>100</v>
      </c>
      <c r="E717" s="228">
        <f t="shared" si="423"/>
        <v>145732.5</v>
      </c>
      <c r="F717" s="229" t="s">
        <v>71</v>
      </c>
      <c r="G717" s="230">
        <v>11622</v>
      </c>
      <c r="H717" s="230"/>
      <c r="I717" s="234">
        <f>I716</f>
        <v>15.74</v>
      </c>
      <c r="J717" s="228">
        <f t="shared" si="424"/>
        <v>182930.28</v>
      </c>
      <c r="K717" s="231">
        <f t="shared" si="425"/>
        <v>328662.78000000003</v>
      </c>
      <c r="L717" s="2"/>
      <c r="M717" s="148" t="s">
        <v>78</v>
      </c>
      <c r="N717" s="149">
        <f t="shared" si="435"/>
        <v>127</v>
      </c>
      <c r="O717" s="125">
        <f t="shared" si="436"/>
        <v>2008.8</v>
      </c>
      <c r="P717" s="106">
        <f t="shared" si="437"/>
        <v>100</v>
      </c>
      <c r="Q717" s="98">
        <f t="shared" si="426"/>
        <v>216849.96</v>
      </c>
      <c r="R717" s="145" t="s">
        <v>71</v>
      </c>
      <c r="S717" s="146">
        <v>11622</v>
      </c>
      <c r="T717" s="146"/>
      <c r="U717" s="125">
        <f>U716</f>
        <v>12.31</v>
      </c>
      <c r="V717" s="98">
        <f t="shared" si="427"/>
        <v>143066.82</v>
      </c>
      <c r="W717" s="147">
        <f t="shared" si="428"/>
        <v>359916.78</v>
      </c>
      <c r="X717" s="2"/>
      <c r="Y717" s="148" t="s">
        <v>78</v>
      </c>
      <c r="Z717" s="149">
        <f t="shared" si="438"/>
        <v>109</v>
      </c>
      <c r="AA717" s="125">
        <f t="shared" si="439"/>
        <v>2008.8</v>
      </c>
      <c r="AB717" s="106">
        <f t="shared" si="440"/>
        <v>100</v>
      </c>
      <c r="AC717" s="98">
        <f t="shared" si="429"/>
        <v>186115.32</v>
      </c>
      <c r="AD717" s="145" t="s">
        <v>71</v>
      </c>
      <c r="AE717" s="146">
        <v>11622</v>
      </c>
      <c r="AF717" s="146"/>
      <c r="AG717" s="125">
        <f>AG716</f>
        <v>12.31</v>
      </c>
      <c r="AH717" s="98">
        <f t="shared" si="430"/>
        <v>143066.82</v>
      </c>
      <c r="AI717" s="147">
        <f t="shared" si="431"/>
        <v>329182.14</v>
      </c>
    </row>
    <row r="718" spans="1:35" ht="30" customHeight="1" x14ac:dyDescent="0.15">
      <c r="A718" s="232" t="s">
        <v>79</v>
      </c>
      <c r="B718" s="233">
        <f t="shared" si="432"/>
        <v>127</v>
      </c>
      <c r="C718" s="234">
        <f t="shared" si="433"/>
        <v>1350</v>
      </c>
      <c r="D718" s="235">
        <f t="shared" si="434"/>
        <v>100</v>
      </c>
      <c r="E718" s="228">
        <f t="shared" si="423"/>
        <v>145732.5</v>
      </c>
      <c r="F718" s="229" t="s">
        <v>71</v>
      </c>
      <c r="G718" s="230">
        <f>13051+3263</f>
        <v>16314</v>
      </c>
      <c r="H718" s="230"/>
      <c r="I718" s="234">
        <f>I717</f>
        <v>15.74</v>
      </c>
      <c r="J718" s="228">
        <f t="shared" si="424"/>
        <v>256782.36</v>
      </c>
      <c r="K718" s="231">
        <f t="shared" si="425"/>
        <v>402514.86</v>
      </c>
      <c r="L718" s="2"/>
      <c r="M718" s="148" t="s">
        <v>79</v>
      </c>
      <c r="N718" s="149">
        <f t="shared" si="435"/>
        <v>127</v>
      </c>
      <c r="O718" s="125">
        <f t="shared" si="436"/>
        <v>2008.8</v>
      </c>
      <c r="P718" s="106">
        <f t="shared" si="437"/>
        <v>100</v>
      </c>
      <c r="Q718" s="98">
        <f t="shared" si="426"/>
        <v>216849.96</v>
      </c>
      <c r="R718" s="145" t="s">
        <v>71</v>
      </c>
      <c r="S718" s="146">
        <f>13051+3263</f>
        <v>16314</v>
      </c>
      <c r="T718" s="146"/>
      <c r="U718" s="125">
        <f>U717</f>
        <v>12.31</v>
      </c>
      <c r="V718" s="98">
        <f t="shared" si="427"/>
        <v>200825.34</v>
      </c>
      <c r="W718" s="147">
        <f t="shared" si="428"/>
        <v>417675.3</v>
      </c>
      <c r="X718" s="2"/>
      <c r="Y718" s="148" t="s">
        <v>79</v>
      </c>
      <c r="Z718" s="149">
        <f t="shared" si="438"/>
        <v>109</v>
      </c>
      <c r="AA718" s="125">
        <f t="shared" si="439"/>
        <v>2008.8</v>
      </c>
      <c r="AB718" s="106">
        <f t="shared" si="440"/>
        <v>100</v>
      </c>
      <c r="AC718" s="98">
        <f t="shared" si="429"/>
        <v>186115.32</v>
      </c>
      <c r="AD718" s="145" t="s">
        <v>71</v>
      </c>
      <c r="AE718" s="146">
        <f>13051+3263</f>
        <v>16314</v>
      </c>
      <c r="AF718" s="146"/>
      <c r="AG718" s="125">
        <f>AG717</f>
        <v>12.31</v>
      </c>
      <c r="AH718" s="98">
        <f t="shared" si="430"/>
        <v>200825.34</v>
      </c>
      <c r="AI718" s="147">
        <f t="shared" si="431"/>
        <v>386940.66</v>
      </c>
    </row>
    <row r="719" spans="1:35" ht="30" customHeight="1" x14ac:dyDescent="0.15">
      <c r="A719" s="232" t="s">
        <v>80</v>
      </c>
      <c r="B719" s="233">
        <f t="shared" si="432"/>
        <v>127</v>
      </c>
      <c r="C719" s="234">
        <f t="shared" si="433"/>
        <v>1350</v>
      </c>
      <c r="D719" s="235">
        <f t="shared" si="434"/>
        <v>100</v>
      </c>
      <c r="E719" s="228">
        <f t="shared" si="423"/>
        <v>145732.5</v>
      </c>
      <c r="F719" s="229" t="s">
        <v>9</v>
      </c>
      <c r="G719" s="230">
        <v>14070</v>
      </c>
      <c r="H719" s="230"/>
      <c r="I719" s="234">
        <f>I710</f>
        <v>14.54</v>
      </c>
      <c r="J719" s="228">
        <f t="shared" si="424"/>
        <v>204577.8</v>
      </c>
      <c r="K719" s="231">
        <f t="shared" si="425"/>
        <v>350310.3</v>
      </c>
      <c r="L719" s="2"/>
      <c r="M719" s="148" t="s">
        <v>80</v>
      </c>
      <c r="N719" s="149">
        <f t="shared" si="435"/>
        <v>127</v>
      </c>
      <c r="O719" s="125">
        <f t="shared" si="436"/>
        <v>2008.8</v>
      </c>
      <c r="P719" s="106">
        <f t="shared" si="437"/>
        <v>100</v>
      </c>
      <c r="Q719" s="98">
        <f t="shared" si="426"/>
        <v>216849.96</v>
      </c>
      <c r="R719" s="145" t="s">
        <v>9</v>
      </c>
      <c r="S719" s="146">
        <v>14070</v>
      </c>
      <c r="T719" s="146"/>
      <c r="U719" s="125">
        <f>U710</f>
        <v>11.44</v>
      </c>
      <c r="V719" s="98">
        <f t="shared" si="427"/>
        <v>160960.79999999999</v>
      </c>
      <c r="W719" s="147">
        <f t="shared" si="428"/>
        <v>377810.76</v>
      </c>
      <c r="X719" s="2"/>
      <c r="Y719" s="148" t="s">
        <v>80</v>
      </c>
      <c r="Z719" s="149">
        <f t="shared" si="438"/>
        <v>109</v>
      </c>
      <c r="AA719" s="125">
        <f t="shared" si="439"/>
        <v>2008.8</v>
      </c>
      <c r="AB719" s="106">
        <f t="shared" si="440"/>
        <v>100</v>
      </c>
      <c r="AC719" s="98">
        <f t="shared" si="429"/>
        <v>186115.32</v>
      </c>
      <c r="AD719" s="145" t="s">
        <v>9</v>
      </c>
      <c r="AE719" s="146">
        <v>14070</v>
      </c>
      <c r="AF719" s="146"/>
      <c r="AG719" s="125">
        <f>AG710</f>
        <v>11.44</v>
      </c>
      <c r="AH719" s="98">
        <f t="shared" si="430"/>
        <v>160960.79999999999</v>
      </c>
      <c r="AI719" s="147">
        <f t="shared" si="431"/>
        <v>347076.12</v>
      </c>
    </row>
    <row r="720" spans="1:35" ht="30" customHeight="1" x14ac:dyDescent="0.15">
      <c r="A720" s="232" t="s">
        <v>81</v>
      </c>
      <c r="B720" s="233">
        <f t="shared" si="432"/>
        <v>127</v>
      </c>
      <c r="C720" s="234">
        <f t="shared" si="433"/>
        <v>1350</v>
      </c>
      <c r="D720" s="235">
        <f t="shared" si="434"/>
        <v>100</v>
      </c>
      <c r="E720" s="228">
        <f t="shared" si="423"/>
        <v>145732.5</v>
      </c>
      <c r="F720" s="229" t="s">
        <v>9</v>
      </c>
      <c r="G720" s="230">
        <v>15090</v>
      </c>
      <c r="H720" s="230"/>
      <c r="I720" s="236">
        <f>I719</f>
        <v>14.54</v>
      </c>
      <c r="J720" s="228">
        <f t="shared" si="424"/>
        <v>219408.6</v>
      </c>
      <c r="K720" s="231">
        <f t="shared" si="425"/>
        <v>365141.1</v>
      </c>
      <c r="L720" s="2"/>
      <c r="M720" s="148" t="s">
        <v>81</v>
      </c>
      <c r="N720" s="149">
        <f t="shared" si="435"/>
        <v>127</v>
      </c>
      <c r="O720" s="125">
        <f t="shared" si="436"/>
        <v>2008.8</v>
      </c>
      <c r="P720" s="106">
        <f t="shared" si="437"/>
        <v>100</v>
      </c>
      <c r="Q720" s="98">
        <f t="shared" si="426"/>
        <v>216849.96</v>
      </c>
      <c r="R720" s="145" t="s">
        <v>9</v>
      </c>
      <c r="S720" s="146">
        <v>15090</v>
      </c>
      <c r="T720" s="146"/>
      <c r="U720" s="127">
        <f>U719</f>
        <v>11.44</v>
      </c>
      <c r="V720" s="98">
        <f t="shared" si="427"/>
        <v>172629.6</v>
      </c>
      <c r="W720" s="147">
        <f t="shared" si="428"/>
        <v>389479.56</v>
      </c>
      <c r="X720" s="2"/>
      <c r="Y720" s="148" t="s">
        <v>81</v>
      </c>
      <c r="Z720" s="149">
        <f t="shared" si="438"/>
        <v>109</v>
      </c>
      <c r="AA720" s="125">
        <f t="shared" si="439"/>
        <v>2008.8</v>
      </c>
      <c r="AB720" s="106">
        <f t="shared" si="440"/>
        <v>100</v>
      </c>
      <c r="AC720" s="98">
        <f t="shared" si="429"/>
        <v>186115.32</v>
      </c>
      <c r="AD720" s="145" t="s">
        <v>9</v>
      </c>
      <c r="AE720" s="146">
        <v>15090</v>
      </c>
      <c r="AF720" s="146"/>
      <c r="AG720" s="127">
        <f>AG719</f>
        <v>11.44</v>
      </c>
      <c r="AH720" s="98">
        <f t="shared" si="430"/>
        <v>172629.6</v>
      </c>
      <c r="AI720" s="147">
        <f t="shared" si="431"/>
        <v>358744.92</v>
      </c>
    </row>
    <row r="721" spans="1:35" ht="30" customHeight="1" thickBot="1" x14ac:dyDescent="0.2">
      <c r="A721" s="237" t="s">
        <v>82</v>
      </c>
      <c r="B721" s="238">
        <f t="shared" si="432"/>
        <v>127</v>
      </c>
      <c r="C721" s="239">
        <f t="shared" si="433"/>
        <v>1350</v>
      </c>
      <c r="D721" s="238">
        <f t="shared" si="434"/>
        <v>100</v>
      </c>
      <c r="E721" s="240">
        <f t="shared" si="423"/>
        <v>145732.5</v>
      </c>
      <c r="F721" s="241" t="s">
        <v>9</v>
      </c>
      <c r="G721" s="242">
        <v>10182</v>
      </c>
      <c r="H721" s="242"/>
      <c r="I721" s="239">
        <f>I720</f>
        <v>14.54</v>
      </c>
      <c r="J721" s="240">
        <f t="shared" si="424"/>
        <v>148046.28</v>
      </c>
      <c r="K721" s="243">
        <f t="shared" si="425"/>
        <v>293778.78000000003</v>
      </c>
      <c r="L721" s="2"/>
      <c r="M721" s="150" t="s">
        <v>82</v>
      </c>
      <c r="N721" s="151">
        <f t="shared" si="435"/>
        <v>127</v>
      </c>
      <c r="O721" s="126">
        <f t="shared" si="436"/>
        <v>2008.8</v>
      </c>
      <c r="P721" s="152">
        <f t="shared" si="437"/>
        <v>100</v>
      </c>
      <c r="Q721" s="99">
        <f t="shared" si="426"/>
        <v>216849.96</v>
      </c>
      <c r="R721" s="153" t="s">
        <v>9</v>
      </c>
      <c r="S721" s="154">
        <v>10182</v>
      </c>
      <c r="T721" s="154"/>
      <c r="U721" s="126">
        <f>U720</f>
        <v>11.44</v>
      </c>
      <c r="V721" s="99">
        <f t="shared" si="427"/>
        <v>116482.08</v>
      </c>
      <c r="W721" s="155">
        <f t="shared" si="428"/>
        <v>333332.03999999998</v>
      </c>
      <c r="X721" s="2"/>
      <c r="Y721" s="150" t="s">
        <v>82</v>
      </c>
      <c r="Z721" s="151">
        <f t="shared" si="438"/>
        <v>109</v>
      </c>
      <c r="AA721" s="126">
        <f t="shared" si="439"/>
        <v>2008.8</v>
      </c>
      <c r="AB721" s="152">
        <f t="shared" si="440"/>
        <v>100</v>
      </c>
      <c r="AC721" s="99">
        <f t="shared" si="429"/>
        <v>186115.32</v>
      </c>
      <c r="AD721" s="153" t="s">
        <v>9</v>
      </c>
      <c r="AE721" s="154">
        <v>10182</v>
      </c>
      <c r="AF721" s="154"/>
      <c r="AG721" s="126">
        <f>AG720</f>
        <v>11.44</v>
      </c>
      <c r="AH721" s="99">
        <f t="shared" si="430"/>
        <v>116482.08</v>
      </c>
      <c r="AI721" s="155">
        <f t="shared" si="431"/>
        <v>302597.40000000002</v>
      </c>
    </row>
    <row r="722" spans="1:35" ht="30" customHeight="1" thickBot="1" x14ac:dyDescent="0.2">
      <c r="A722" s="251" t="s">
        <v>41</v>
      </c>
      <c r="B722" s="245"/>
      <c r="C722" s="245"/>
      <c r="D722" s="245"/>
      <c r="E722" s="246">
        <f>SUM(E710:E721)</f>
        <v>1748790</v>
      </c>
      <c r="F722" s="247"/>
      <c r="G722" s="248">
        <f>SUM(G710:G721)</f>
        <v>166059</v>
      </c>
      <c r="H722" s="248"/>
      <c r="I722" s="245"/>
      <c r="J722" s="246">
        <f>SUM(J710:J721)</f>
        <v>2463803.4599999995</v>
      </c>
      <c r="K722" s="249">
        <f>SUM(K710:K721)</f>
        <v>4212593.46</v>
      </c>
      <c r="L722" s="89" t="s">
        <v>113</v>
      </c>
      <c r="M722" s="164" t="s">
        <v>41</v>
      </c>
      <c r="N722" s="157"/>
      <c r="O722" s="157"/>
      <c r="P722" s="157"/>
      <c r="Q722" s="158">
        <f>SUM(Q710:Q721)</f>
        <v>2602199.52</v>
      </c>
      <c r="R722" s="159"/>
      <c r="S722" s="160">
        <f>SUM(S710:S721)</f>
        <v>166059</v>
      </c>
      <c r="T722" s="160"/>
      <c r="U722" s="157"/>
      <c r="V722" s="158">
        <f>SUM(V710:V721)</f>
        <v>1935461.5200000003</v>
      </c>
      <c r="W722" s="161">
        <f>SUM(W710:W721)</f>
        <v>4537661.0399999991</v>
      </c>
      <c r="X722" s="89" t="s">
        <v>113</v>
      </c>
      <c r="Y722" s="164" t="s">
        <v>41</v>
      </c>
      <c r="Z722" s="157"/>
      <c r="AA722" s="157"/>
      <c r="AB722" s="157"/>
      <c r="AC722" s="158">
        <f>SUM(AC710:AC721)</f>
        <v>2233383.8400000003</v>
      </c>
      <c r="AD722" s="159"/>
      <c r="AE722" s="160">
        <f>SUM(AE710:AE721)</f>
        <v>166059</v>
      </c>
      <c r="AF722" s="160"/>
      <c r="AG722" s="157"/>
      <c r="AH722" s="158">
        <f>SUM(AH710:AH721)</f>
        <v>1935461.5200000003</v>
      </c>
      <c r="AI722" s="161">
        <f>SUM(AI710:AI721)</f>
        <v>4168845.3600000003</v>
      </c>
    </row>
    <row r="723" spans="1:35" x14ac:dyDescent="0.15">
      <c r="A723" s="214"/>
      <c r="B723" s="213"/>
      <c r="C723" s="213"/>
      <c r="D723" s="213"/>
      <c r="E723" s="213"/>
      <c r="F723" s="213"/>
      <c r="G723" s="213"/>
      <c r="H723" s="213"/>
      <c r="I723" s="213"/>
      <c r="J723" s="213"/>
      <c r="K723" s="213"/>
      <c r="L723" s="2"/>
      <c r="X723" s="2"/>
    </row>
    <row r="724" spans="1:35" x14ac:dyDescent="0.15">
      <c r="A724" s="211" t="s">
        <v>156</v>
      </c>
      <c r="B724" s="212">
        <f>B699+1</f>
        <v>27</v>
      </c>
      <c r="C724" s="213"/>
      <c r="D724" s="213"/>
      <c r="E724" s="213"/>
      <c r="F724" s="213"/>
      <c r="G724" s="213"/>
      <c r="H724" s="213"/>
      <c r="I724" s="213"/>
      <c r="J724" s="213"/>
      <c r="K724" s="692"/>
      <c r="M724" s="453" t="s">
        <v>62</v>
      </c>
      <c r="N724" s="454">
        <f>N699+1</f>
        <v>27</v>
      </c>
      <c r="O724" s="455"/>
      <c r="P724" s="455"/>
      <c r="Q724" s="455"/>
      <c r="R724" s="455"/>
      <c r="S724" s="455"/>
      <c r="T724" s="455"/>
      <c r="U724" s="455"/>
      <c r="V724" s="455"/>
      <c r="W724" s="693"/>
      <c r="X724" s="2"/>
      <c r="Y724" s="2"/>
      <c r="Z724" s="2"/>
      <c r="AA724" s="2"/>
      <c r="AB724" s="2"/>
      <c r="AC724" s="2"/>
      <c r="AD724" s="2"/>
      <c r="AE724" s="2"/>
      <c r="AF724" s="2"/>
      <c r="AG724" s="2"/>
      <c r="AH724" s="2"/>
      <c r="AI724" s="2"/>
    </row>
    <row r="725" spans="1:35" x14ac:dyDescent="0.15">
      <c r="A725" s="214"/>
      <c r="B725" s="213"/>
      <c r="C725" s="213"/>
      <c r="D725" s="213"/>
      <c r="E725" s="213"/>
      <c r="F725" s="213"/>
      <c r="G725" s="213"/>
      <c r="H725" s="213"/>
      <c r="I725" s="213"/>
      <c r="J725" s="213"/>
      <c r="K725" s="692"/>
      <c r="M725" s="456"/>
      <c r="N725" s="455"/>
      <c r="O725" s="455"/>
      <c r="P725" s="455"/>
      <c r="Q725" s="455"/>
      <c r="R725" s="455"/>
      <c r="S725" s="455"/>
      <c r="T725" s="455"/>
      <c r="U725" s="455"/>
      <c r="V725" s="455"/>
      <c r="W725" s="693"/>
      <c r="X725" s="2"/>
      <c r="Y725" s="2"/>
      <c r="Z725" s="2"/>
      <c r="AA725" s="2"/>
      <c r="AB725" s="2"/>
      <c r="AC725" s="2"/>
      <c r="AD725" s="2"/>
      <c r="AE725" s="2"/>
      <c r="AF725" s="2"/>
      <c r="AG725" s="2"/>
      <c r="AH725" s="2"/>
      <c r="AI725" s="2"/>
    </row>
    <row r="726" spans="1:35" x14ac:dyDescent="0.15">
      <c r="A726" s="214"/>
      <c r="B726" s="213"/>
      <c r="C726" s="213"/>
      <c r="D726" s="213"/>
      <c r="E726" s="213"/>
      <c r="F726" s="213"/>
      <c r="G726" s="213"/>
      <c r="H726" s="213"/>
      <c r="I726" s="213"/>
      <c r="J726" s="213"/>
      <c r="K726" s="692"/>
      <c r="M726" s="456"/>
      <c r="N726" s="455"/>
      <c r="O726" s="455"/>
      <c r="P726" s="455"/>
      <c r="Q726" s="455"/>
      <c r="R726" s="455"/>
      <c r="S726" s="455"/>
      <c r="T726" s="455"/>
      <c r="U726" s="455"/>
      <c r="V726" s="455"/>
      <c r="W726" s="693"/>
      <c r="X726" s="2"/>
      <c r="Y726" s="2"/>
      <c r="Z726" s="2"/>
      <c r="AA726" s="2"/>
      <c r="AB726" s="2"/>
      <c r="AC726" s="2"/>
      <c r="AD726" s="2"/>
      <c r="AE726" s="2"/>
      <c r="AF726" s="2"/>
      <c r="AG726" s="2"/>
      <c r="AH726" s="2"/>
      <c r="AI726" s="2"/>
    </row>
    <row r="727" spans="1:35" ht="17.25" x14ac:dyDescent="0.15">
      <c r="A727" s="694" t="str">
        <f>$A$5</f>
        <v>平成29年度小郡市役所庁舎外25施設電力需給</v>
      </c>
      <c r="B727" s="694"/>
      <c r="C727" s="694"/>
      <c r="D727" s="694"/>
      <c r="E727" s="694"/>
      <c r="F727" s="694"/>
      <c r="G727" s="694"/>
      <c r="H727" s="694"/>
      <c r="I727" s="694"/>
      <c r="J727" s="694"/>
      <c r="K727" s="694"/>
      <c r="M727" s="660" t="str">
        <f>$A$5</f>
        <v>平成29年度小郡市役所庁舎外25施設電力需給</v>
      </c>
      <c r="N727" s="660"/>
      <c r="O727" s="660"/>
      <c r="P727" s="660"/>
      <c r="Q727" s="660"/>
      <c r="R727" s="660"/>
      <c r="S727" s="660"/>
      <c r="T727" s="660"/>
      <c r="U727" s="660"/>
      <c r="V727" s="660"/>
      <c r="W727" s="660"/>
      <c r="X727" s="2"/>
      <c r="Y727" s="2"/>
      <c r="Z727" s="2"/>
      <c r="AA727" s="2"/>
      <c r="AB727" s="2"/>
      <c r="AC727" s="2"/>
      <c r="AD727" s="2"/>
      <c r="AE727" s="2"/>
      <c r="AF727" s="2"/>
      <c r="AG727" s="2"/>
      <c r="AH727" s="2"/>
      <c r="AI727" s="2"/>
    </row>
    <row r="728" spans="1:35" x14ac:dyDescent="0.15">
      <c r="A728" s="689" t="str">
        <f>$A$6</f>
        <v>（平成３０年１月～平成３０年１２月期間中の予定金額）</v>
      </c>
      <c r="B728" s="689"/>
      <c r="C728" s="689"/>
      <c r="D728" s="689"/>
      <c r="E728" s="689"/>
      <c r="F728" s="689"/>
      <c r="G728" s="689"/>
      <c r="H728" s="689"/>
      <c r="I728" s="689"/>
      <c r="J728" s="689"/>
      <c r="K728" s="689"/>
      <c r="M728" s="661" t="str">
        <f>$A$6</f>
        <v>（平成３０年１月～平成３０年１２月期間中の予定金額）</v>
      </c>
      <c r="N728" s="661"/>
      <c r="O728" s="661"/>
      <c r="P728" s="661"/>
      <c r="Q728" s="661"/>
      <c r="R728" s="661"/>
      <c r="S728" s="661"/>
      <c r="T728" s="661"/>
      <c r="U728" s="661"/>
      <c r="V728" s="661"/>
      <c r="W728" s="661"/>
      <c r="X728" s="2"/>
      <c r="Y728" s="2"/>
      <c r="Z728" s="2"/>
      <c r="AA728" s="2"/>
      <c r="AB728" s="2"/>
      <c r="AC728" s="2"/>
      <c r="AD728" s="2"/>
      <c r="AE728" s="2"/>
      <c r="AF728" s="2"/>
      <c r="AG728" s="2"/>
      <c r="AH728" s="2"/>
      <c r="AI728" s="2"/>
    </row>
    <row r="729" spans="1:35" ht="14.25" thickBot="1" x14ac:dyDescent="0.2">
      <c r="A729" s="690" t="s">
        <v>163</v>
      </c>
      <c r="B729" s="690"/>
      <c r="C729" s="213"/>
      <c r="D729" s="213"/>
      <c r="E729" s="213"/>
      <c r="F729" s="213"/>
      <c r="G729" s="213"/>
      <c r="H729" s="213"/>
      <c r="I729" s="213"/>
      <c r="J729" s="213"/>
      <c r="K729" s="211" t="s">
        <v>165</v>
      </c>
      <c r="M729" s="691" t="s">
        <v>163</v>
      </c>
      <c r="N729" s="691"/>
      <c r="O729" s="455"/>
      <c r="P729" s="455"/>
      <c r="Q729" s="455"/>
      <c r="R729" s="455"/>
      <c r="S729" s="455"/>
      <c r="T729" s="455"/>
      <c r="U729" s="455"/>
      <c r="V729" s="455"/>
      <c r="W729" s="453" t="s">
        <v>174</v>
      </c>
      <c r="X729" s="2"/>
      <c r="Y729" s="690" t="s">
        <v>163</v>
      </c>
      <c r="Z729" s="690"/>
      <c r="AA729" s="213"/>
      <c r="AB729" s="213"/>
      <c r="AC729" s="213"/>
      <c r="AD729" s="213"/>
      <c r="AE729" s="213"/>
      <c r="AF729" s="213"/>
      <c r="AG729" s="213"/>
      <c r="AH729" s="213"/>
      <c r="AI729" s="211" t="s">
        <v>164</v>
      </c>
    </row>
    <row r="730" spans="1:35" ht="18" customHeight="1" thickBot="1" x14ac:dyDescent="0.2">
      <c r="A730" s="695" t="s">
        <v>33</v>
      </c>
      <c r="B730" s="683" t="s">
        <v>24</v>
      </c>
      <c r="C730" s="684"/>
      <c r="D730" s="684"/>
      <c r="E730" s="685"/>
      <c r="F730" s="686" t="s">
        <v>34</v>
      </c>
      <c r="G730" s="687"/>
      <c r="H730" s="687"/>
      <c r="I730" s="687"/>
      <c r="J730" s="688"/>
      <c r="K730" s="667" t="s">
        <v>35</v>
      </c>
      <c r="M730" s="654" t="s">
        <v>33</v>
      </c>
      <c r="N730" s="657" t="s">
        <v>24</v>
      </c>
      <c r="O730" s="658"/>
      <c r="P730" s="658"/>
      <c r="Q730" s="659"/>
      <c r="R730" s="651" t="s">
        <v>34</v>
      </c>
      <c r="S730" s="652"/>
      <c r="T730" s="652"/>
      <c r="U730" s="652"/>
      <c r="V730" s="653"/>
      <c r="W730" s="649" t="s">
        <v>35</v>
      </c>
      <c r="X730" s="2"/>
      <c r="Y730" s="695" t="s">
        <v>33</v>
      </c>
      <c r="Z730" s="683" t="s">
        <v>24</v>
      </c>
      <c r="AA730" s="684"/>
      <c r="AB730" s="684"/>
      <c r="AC730" s="685"/>
      <c r="AD730" s="686" t="s">
        <v>34</v>
      </c>
      <c r="AE730" s="687"/>
      <c r="AF730" s="687"/>
      <c r="AG730" s="687"/>
      <c r="AH730" s="688"/>
      <c r="AI730" s="667" t="s">
        <v>35</v>
      </c>
    </row>
    <row r="731" spans="1:35" ht="13.5" customHeight="1" x14ac:dyDescent="0.15">
      <c r="A731" s="696"/>
      <c r="B731" s="669" t="s">
        <v>28</v>
      </c>
      <c r="C731" s="667" t="s">
        <v>29</v>
      </c>
      <c r="D731" s="669" t="s">
        <v>25</v>
      </c>
      <c r="E731" s="678" t="s">
        <v>31</v>
      </c>
      <c r="F731" s="679" t="s">
        <v>36</v>
      </c>
      <c r="G731" s="680"/>
      <c r="H731" s="216"/>
      <c r="I731" s="667" t="s">
        <v>37</v>
      </c>
      <c r="J731" s="669" t="s">
        <v>38</v>
      </c>
      <c r="K731" s="668"/>
      <c r="M731" s="655"/>
      <c r="N731" s="644" t="s">
        <v>28</v>
      </c>
      <c r="O731" s="649" t="s">
        <v>29</v>
      </c>
      <c r="P731" s="644" t="s">
        <v>25</v>
      </c>
      <c r="Q731" s="643" t="s">
        <v>31</v>
      </c>
      <c r="R731" s="645" t="s">
        <v>36</v>
      </c>
      <c r="S731" s="646"/>
      <c r="T731" s="458"/>
      <c r="U731" s="649" t="s">
        <v>37</v>
      </c>
      <c r="V731" s="644" t="s">
        <v>38</v>
      </c>
      <c r="W731" s="650"/>
      <c r="X731" s="2"/>
      <c r="Y731" s="696"/>
      <c r="Z731" s="669" t="s">
        <v>28</v>
      </c>
      <c r="AA731" s="667" t="s">
        <v>29</v>
      </c>
      <c r="AB731" s="669" t="s">
        <v>25</v>
      </c>
      <c r="AC731" s="678" t="s">
        <v>31</v>
      </c>
      <c r="AD731" s="679" t="s">
        <v>36</v>
      </c>
      <c r="AE731" s="680"/>
      <c r="AF731" s="216"/>
      <c r="AG731" s="667" t="s">
        <v>37</v>
      </c>
      <c r="AH731" s="669" t="s">
        <v>38</v>
      </c>
      <c r="AI731" s="668"/>
    </row>
    <row r="732" spans="1:35" x14ac:dyDescent="0.15">
      <c r="A732" s="696"/>
      <c r="B732" s="669"/>
      <c r="C732" s="668"/>
      <c r="D732" s="669"/>
      <c r="E732" s="669"/>
      <c r="F732" s="681"/>
      <c r="G732" s="682"/>
      <c r="H732" s="217"/>
      <c r="I732" s="668"/>
      <c r="J732" s="669"/>
      <c r="K732" s="668"/>
      <c r="M732" s="655"/>
      <c r="N732" s="644"/>
      <c r="O732" s="650"/>
      <c r="P732" s="644"/>
      <c r="Q732" s="644"/>
      <c r="R732" s="647"/>
      <c r="S732" s="648"/>
      <c r="T732" s="460"/>
      <c r="U732" s="650"/>
      <c r="V732" s="644"/>
      <c r="W732" s="650"/>
      <c r="X732" s="2"/>
      <c r="Y732" s="696"/>
      <c r="Z732" s="669"/>
      <c r="AA732" s="668"/>
      <c r="AB732" s="669"/>
      <c r="AC732" s="669"/>
      <c r="AD732" s="681"/>
      <c r="AE732" s="682"/>
      <c r="AF732" s="217"/>
      <c r="AG732" s="668"/>
      <c r="AH732" s="669"/>
      <c r="AI732" s="668"/>
    </row>
    <row r="733" spans="1:35" ht="23.25" customHeight="1" x14ac:dyDescent="0.15">
      <c r="A733" s="696"/>
      <c r="B733" s="218" t="s">
        <v>13</v>
      </c>
      <c r="C733" s="219" t="s">
        <v>30</v>
      </c>
      <c r="D733" s="218" t="s">
        <v>14</v>
      </c>
      <c r="E733" s="218" t="s">
        <v>40</v>
      </c>
      <c r="F733" s="665" t="s">
        <v>15</v>
      </c>
      <c r="G733" s="666"/>
      <c r="H733" s="220"/>
      <c r="I733" s="219" t="s">
        <v>30</v>
      </c>
      <c r="J733" s="218" t="s">
        <v>40</v>
      </c>
      <c r="K733" s="218" t="s">
        <v>40</v>
      </c>
      <c r="M733" s="655"/>
      <c r="N733" s="461" t="s">
        <v>145</v>
      </c>
      <c r="O733" s="462" t="s">
        <v>30</v>
      </c>
      <c r="P733" s="461" t="s">
        <v>143</v>
      </c>
      <c r="Q733" s="461" t="s">
        <v>40</v>
      </c>
      <c r="R733" s="641" t="s">
        <v>144</v>
      </c>
      <c r="S733" s="642"/>
      <c r="T733" s="463"/>
      <c r="U733" s="462" t="s">
        <v>30</v>
      </c>
      <c r="V733" s="461" t="s">
        <v>40</v>
      </c>
      <c r="W733" s="461" t="s">
        <v>40</v>
      </c>
      <c r="X733" s="2"/>
      <c r="Y733" s="696"/>
      <c r="Z733" s="218" t="s">
        <v>13</v>
      </c>
      <c r="AA733" s="219" t="s">
        <v>30</v>
      </c>
      <c r="AB733" s="218" t="s">
        <v>14</v>
      </c>
      <c r="AC733" s="218" t="s">
        <v>40</v>
      </c>
      <c r="AD733" s="665" t="s">
        <v>15</v>
      </c>
      <c r="AE733" s="666"/>
      <c r="AF733" s="220"/>
      <c r="AG733" s="219" t="s">
        <v>30</v>
      </c>
      <c r="AH733" s="218" t="s">
        <v>40</v>
      </c>
      <c r="AI733" s="218" t="s">
        <v>40</v>
      </c>
    </row>
    <row r="734" spans="1:35" ht="15.75" customHeight="1" thickBot="1" x14ac:dyDescent="0.2">
      <c r="A734" s="697"/>
      <c r="B734" s="221" t="s">
        <v>16</v>
      </c>
      <c r="C734" s="221" t="s">
        <v>17</v>
      </c>
      <c r="D734" s="221" t="s">
        <v>18</v>
      </c>
      <c r="E734" s="221" t="s">
        <v>19</v>
      </c>
      <c r="F734" s="674" t="s">
        <v>20</v>
      </c>
      <c r="G734" s="675"/>
      <c r="H734" s="223"/>
      <c r="I734" s="221" t="s">
        <v>21</v>
      </c>
      <c r="J734" s="221" t="s">
        <v>22</v>
      </c>
      <c r="K734" s="223" t="s">
        <v>23</v>
      </c>
      <c r="M734" s="656"/>
      <c r="N734" s="464" t="s">
        <v>166</v>
      </c>
      <c r="O734" s="464" t="s">
        <v>167</v>
      </c>
      <c r="P734" s="464" t="s">
        <v>168</v>
      </c>
      <c r="Q734" s="464" t="s">
        <v>169</v>
      </c>
      <c r="R734" s="676" t="s">
        <v>170</v>
      </c>
      <c r="S734" s="677"/>
      <c r="T734" s="465"/>
      <c r="U734" s="464" t="s">
        <v>171</v>
      </c>
      <c r="V734" s="464" t="s">
        <v>172</v>
      </c>
      <c r="W734" s="465" t="s">
        <v>173</v>
      </c>
      <c r="X734" s="2"/>
      <c r="Y734" s="697"/>
      <c r="Z734" s="221" t="s">
        <v>16</v>
      </c>
      <c r="AA734" s="221" t="s">
        <v>17</v>
      </c>
      <c r="AB734" s="221" t="s">
        <v>18</v>
      </c>
      <c r="AC734" s="221" t="s">
        <v>19</v>
      </c>
      <c r="AD734" s="674" t="s">
        <v>20</v>
      </c>
      <c r="AE734" s="675"/>
      <c r="AF734" s="223"/>
      <c r="AG734" s="221" t="s">
        <v>21</v>
      </c>
      <c r="AH734" s="221" t="s">
        <v>22</v>
      </c>
      <c r="AI734" s="223" t="s">
        <v>23</v>
      </c>
    </row>
    <row r="735" spans="1:35" ht="30" customHeight="1" x14ac:dyDescent="0.15">
      <c r="A735" s="410" t="s">
        <v>83</v>
      </c>
      <c r="B735" s="409">
        <v>355</v>
      </c>
      <c r="C735" s="419">
        <v>1296</v>
      </c>
      <c r="D735" s="412">
        <v>100</v>
      </c>
      <c r="E735" s="413">
        <f>ROUNDDOWN(B735*C735*((185-D735)/100),2)</f>
        <v>391068</v>
      </c>
      <c r="F735" s="420" t="s">
        <v>157</v>
      </c>
      <c r="G735" s="421">
        <v>11204</v>
      </c>
      <c r="H735" s="422">
        <f>SUM(G735:G736)</f>
        <v>20712</v>
      </c>
      <c r="I735" s="226">
        <v>20.97</v>
      </c>
      <c r="J735" s="228">
        <f t="shared" ref="J735:J761" si="441">ROUNDDOWN(G735*I735,2)</f>
        <v>234947.88</v>
      </c>
      <c r="K735" s="413">
        <f>ROUNDDOWN(J735+E735+J736,2)</f>
        <v>710922.32</v>
      </c>
      <c r="M735" s="457" t="s">
        <v>83</v>
      </c>
      <c r="N735" s="407">
        <v>355</v>
      </c>
      <c r="O735" s="423">
        <v>610</v>
      </c>
      <c r="P735" s="408">
        <v>100</v>
      </c>
      <c r="Q735" s="466">
        <f>ROUNDDOWN(N735*O735*((185-P735)/100),2)</f>
        <v>184067.5</v>
      </c>
      <c r="R735" s="467" t="s">
        <v>157</v>
      </c>
      <c r="S735" s="468">
        <v>11204</v>
      </c>
      <c r="T735" s="469">
        <f>SUM(S735:S736)</f>
        <v>20712</v>
      </c>
      <c r="U735" s="123">
        <v>19.420000000000002</v>
      </c>
      <c r="V735" s="470">
        <f t="shared" ref="V735:V744" si="442">ROUNDDOWN(S735*U735,2)</f>
        <v>217581.68</v>
      </c>
      <c r="W735" s="466">
        <f>ROUNDDOWN(V735+Q735+V736,2)</f>
        <v>480090.18</v>
      </c>
      <c r="X735" s="2"/>
      <c r="Y735" s="410" t="s">
        <v>83</v>
      </c>
      <c r="Z735" s="409">
        <v>355</v>
      </c>
      <c r="AA735" s="419">
        <v>2008.8</v>
      </c>
      <c r="AB735" s="412">
        <v>100</v>
      </c>
      <c r="AC735" s="413">
        <f>ROUNDDOWN(Z735*AA735*((185-AB735)/100),2)</f>
        <v>606155.4</v>
      </c>
      <c r="AD735" s="420" t="s">
        <v>157</v>
      </c>
      <c r="AE735" s="421">
        <v>11204</v>
      </c>
      <c r="AF735" s="422">
        <f>SUM(AE735:AE736)</f>
        <v>20712</v>
      </c>
      <c r="AG735" s="226">
        <v>13.31</v>
      </c>
      <c r="AH735" s="228">
        <f t="shared" ref="AH735:AH744" si="443">ROUNDDOWN(AE735*AG735,2)</f>
        <v>149125.24</v>
      </c>
      <c r="AI735" s="413">
        <f>ROUNDDOWN(AH735+AC735+AH736,2)</f>
        <v>840187.08</v>
      </c>
    </row>
    <row r="736" spans="1:35" ht="30" customHeight="1" x14ac:dyDescent="0.15">
      <c r="A736" s="424"/>
      <c r="B736" s="225"/>
      <c r="C736" s="226"/>
      <c r="D736" s="227"/>
      <c r="E736" s="228"/>
      <c r="F736" s="420" t="s">
        <v>158</v>
      </c>
      <c r="G736" s="421">
        <v>9508</v>
      </c>
      <c r="H736" s="425"/>
      <c r="I736" s="226">
        <v>8.93</v>
      </c>
      <c r="J736" s="228">
        <f>ROUNDDOWN(G736*I736,2)</f>
        <v>84906.44</v>
      </c>
      <c r="K736" s="228"/>
      <c r="M736" s="471"/>
      <c r="N736" s="163"/>
      <c r="O736" s="123"/>
      <c r="P736" s="144"/>
      <c r="Q736" s="470"/>
      <c r="R736" s="467" t="s">
        <v>158</v>
      </c>
      <c r="S736" s="468">
        <v>9508</v>
      </c>
      <c r="T736" s="472"/>
      <c r="U736" s="123">
        <v>8.25</v>
      </c>
      <c r="V736" s="470">
        <f t="shared" si="442"/>
        <v>78441</v>
      </c>
      <c r="W736" s="470"/>
      <c r="X736" s="2"/>
      <c r="Y736" s="424"/>
      <c r="Z736" s="225"/>
      <c r="AA736" s="226"/>
      <c r="AB736" s="227"/>
      <c r="AC736" s="228"/>
      <c r="AD736" s="420" t="s">
        <v>158</v>
      </c>
      <c r="AE736" s="421">
        <v>9508</v>
      </c>
      <c r="AF736" s="425"/>
      <c r="AG736" s="226">
        <v>8.93</v>
      </c>
      <c r="AH736" s="228">
        <f t="shared" si="443"/>
        <v>84906.44</v>
      </c>
      <c r="AI736" s="228"/>
    </row>
    <row r="737" spans="1:35" ht="30" customHeight="1" x14ac:dyDescent="0.15">
      <c r="A737" s="426" t="s">
        <v>72</v>
      </c>
      <c r="B737" s="415">
        <f>B735</f>
        <v>355</v>
      </c>
      <c r="C737" s="427">
        <f>C735</f>
        <v>1296</v>
      </c>
      <c r="D737" s="415">
        <f>D735</f>
        <v>100</v>
      </c>
      <c r="E737" s="417">
        <f>ROUNDDOWN(B737*C737*((185-D737)/100),2)</f>
        <v>391068</v>
      </c>
      <c r="F737" s="420" t="str">
        <f>F735</f>
        <v>その他季昼間</v>
      </c>
      <c r="G737" s="421">
        <v>10359</v>
      </c>
      <c r="H737" s="428">
        <f t="shared" ref="H737:H745" si="444">SUM(G737:G738)</f>
        <v>17344</v>
      </c>
      <c r="I737" s="429">
        <f t="shared" ref="I737:I746" si="445">I735</f>
        <v>20.97</v>
      </c>
      <c r="J737" s="228">
        <f t="shared" si="441"/>
        <v>217228.23</v>
      </c>
      <c r="K737" s="414">
        <f>ROUNDDOWN(J737+E737+J738,2)</f>
        <v>670672.28</v>
      </c>
      <c r="M737" s="473" t="s">
        <v>72</v>
      </c>
      <c r="N737" s="474">
        <f>N735</f>
        <v>355</v>
      </c>
      <c r="O737" s="475">
        <f>O735</f>
        <v>610</v>
      </c>
      <c r="P737" s="474">
        <f>P735</f>
        <v>100</v>
      </c>
      <c r="Q737" s="476">
        <f>ROUNDDOWN(N737*O737*((185-P737)/100),2)</f>
        <v>184067.5</v>
      </c>
      <c r="R737" s="467" t="str">
        <f>R735</f>
        <v>その他季昼間</v>
      </c>
      <c r="S737" s="468">
        <v>10359</v>
      </c>
      <c r="T737" s="477">
        <f t="shared" ref="T737:T745" si="446">SUM(S737:S738)</f>
        <v>17344</v>
      </c>
      <c r="U737" s="478">
        <f t="shared" ref="U737:U746" si="447">U735</f>
        <v>19.420000000000002</v>
      </c>
      <c r="V737" s="470">
        <f t="shared" si="442"/>
        <v>201171.78</v>
      </c>
      <c r="W737" s="479">
        <f>ROUNDDOWN(V737+Q737+V738,2)</f>
        <v>442865.53</v>
      </c>
      <c r="X737" s="2"/>
      <c r="Y737" s="426" t="s">
        <v>72</v>
      </c>
      <c r="Z737" s="415">
        <f>Z735</f>
        <v>355</v>
      </c>
      <c r="AA737" s="427">
        <f>AA735</f>
        <v>2008.8</v>
      </c>
      <c r="AB737" s="415">
        <f>AB735</f>
        <v>100</v>
      </c>
      <c r="AC737" s="417">
        <f>ROUNDDOWN(Z737*AA737*((185-AB737)/100),2)</f>
        <v>606155.4</v>
      </c>
      <c r="AD737" s="420" t="str">
        <f>AD735</f>
        <v>その他季昼間</v>
      </c>
      <c r="AE737" s="421">
        <v>10359</v>
      </c>
      <c r="AF737" s="428">
        <f t="shared" ref="AF737:AF745" si="448">SUM(AE737:AE738)</f>
        <v>17344</v>
      </c>
      <c r="AG737" s="429">
        <f t="shared" ref="AG737:AG746" si="449">AG735</f>
        <v>13.31</v>
      </c>
      <c r="AH737" s="228">
        <f t="shared" si="443"/>
        <v>137878.29</v>
      </c>
      <c r="AI737" s="414">
        <f>ROUNDDOWN(AH737+AC737+AH738,2)</f>
        <v>806409.74</v>
      </c>
    </row>
    <row r="738" spans="1:35" ht="30" customHeight="1" x14ac:dyDescent="0.15">
      <c r="A738" s="424"/>
      <c r="B738" s="235"/>
      <c r="C738" s="234"/>
      <c r="D738" s="235"/>
      <c r="E738" s="228"/>
      <c r="F738" s="420" t="s">
        <v>158</v>
      </c>
      <c r="G738" s="421">
        <v>6985</v>
      </c>
      <c r="H738" s="425"/>
      <c r="I738" s="429">
        <f t="shared" si="445"/>
        <v>8.93</v>
      </c>
      <c r="J738" s="228">
        <f t="shared" si="441"/>
        <v>62376.05</v>
      </c>
      <c r="K738" s="231"/>
      <c r="M738" s="471"/>
      <c r="N738" s="480"/>
      <c r="O738" s="481"/>
      <c r="P738" s="480"/>
      <c r="Q738" s="470"/>
      <c r="R738" s="467" t="s">
        <v>158</v>
      </c>
      <c r="S738" s="468">
        <v>6985</v>
      </c>
      <c r="T738" s="472"/>
      <c r="U738" s="478">
        <f t="shared" si="447"/>
        <v>8.25</v>
      </c>
      <c r="V738" s="470">
        <f t="shared" si="442"/>
        <v>57626.25</v>
      </c>
      <c r="W738" s="482"/>
      <c r="X738" s="2"/>
      <c r="Y738" s="424"/>
      <c r="Z738" s="235"/>
      <c r="AA738" s="234"/>
      <c r="AB738" s="235"/>
      <c r="AC738" s="228"/>
      <c r="AD738" s="420" t="s">
        <v>158</v>
      </c>
      <c r="AE738" s="421">
        <v>6985</v>
      </c>
      <c r="AF738" s="425"/>
      <c r="AG738" s="429">
        <f t="shared" si="449"/>
        <v>8.93</v>
      </c>
      <c r="AH738" s="228">
        <f t="shared" si="443"/>
        <v>62376.05</v>
      </c>
      <c r="AI738" s="231"/>
    </row>
    <row r="739" spans="1:35" ht="30" customHeight="1" x14ac:dyDescent="0.15">
      <c r="A739" s="426" t="s">
        <v>73</v>
      </c>
      <c r="B739" s="415">
        <f>B737</f>
        <v>355</v>
      </c>
      <c r="C739" s="427">
        <f>C737</f>
        <v>1296</v>
      </c>
      <c r="D739" s="415">
        <f>D737</f>
        <v>100</v>
      </c>
      <c r="E739" s="417">
        <f>ROUNDDOWN(B739*C739*((185-D739)/100),2)</f>
        <v>391068</v>
      </c>
      <c r="F739" s="420" t="str">
        <f>F737</f>
        <v>その他季昼間</v>
      </c>
      <c r="G739" s="421">
        <v>14215</v>
      </c>
      <c r="H739" s="428">
        <f t="shared" si="444"/>
        <v>21717</v>
      </c>
      <c r="I739" s="429">
        <f t="shared" si="445"/>
        <v>20.97</v>
      </c>
      <c r="J739" s="228">
        <f t="shared" si="441"/>
        <v>298088.55</v>
      </c>
      <c r="K739" s="414">
        <f>ROUNDDOWN(J739+E739+J740,2)</f>
        <v>756149.41</v>
      </c>
      <c r="M739" s="473" t="s">
        <v>73</v>
      </c>
      <c r="N739" s="474">
        <f>N737</f>
        <v>355</v>
      </c>
      <c r="O739" s="475">
        <f>O737</f>
        <v>610</v>
      </c>
      <c r="P739" s="474">
        <f>P737</f>
        <v>100</v>
      </c>
      <c r="Q739" s="476">
        <f>ROUNDDOWN(N739*O739*((185-P739)/100),2)</f>
        <v>184067.5</v>
      </c>
      <c r="R739" s="467" t="str">
        <f>R737</f>
        <v>その他季昼間</v>
      </c>
      <c r="S739" s="468">
        <v>14215</v>
      </c>
      <c r="T739" s="477">
        <f t="shared" si="446"/>
        <v>21717</v>
      </c>
      <c r="U739" s="478">
        <f t="shared" si="447"/>
        <v>19.420000000000002</v>
      </c>
      <c r="V739" s="470">
        <f t="shared" si="442"/>
        <v>276055.3</v>
      </c>
      <c r="W739" s="479">
        <f>ROUNDDOWN(V739+Q739+V740,2)</f>
        <v>522014.3</v>
      </c>
      <c r="X739" s="2"/>
      <c r="Y739" s="426" t="s">
        <v>73</v>
      </c>
      <c r="Z739" s="415">
        <f>Z737</f>
        <v>355</v>
      </c>
      <c r="AA739" s="427">
        <f>AA737</f>
        <v>2008.8</v>
      </c>
      <c r="AB739" s="415">
        <f>AB737</f>
        <v>100</v>
      </c>
      <c r="AC739" s="417">
        <f>ROUNDDOWN(Z739*AA739*((185-AB739)/100),2)</f>
        <v>606155.4</v>
      </c>
      <c r="AD739" s="420" t="str">
        <f>AD737</f>
        <v>その他季昼間</v>
      </c>
      <c r="AE739" s="421">
        <v>14215</v>
      </c>
      <c r="AF739" s="428">
        <f t="shared" si="448"/>
        <v>21717</v>
      </c>
      <c r="AG739" s="429">
        <f t="shared" si="449"/>
        <v>13.31</v>
      </c>
      <c r="AH739" s="228">
        <f t="shared" si="443"/>
        <v>189201.65</v>
      </c>
      <c r="AI739" s="414">
        <f>ROUNDDOWN(AH739+AC739+AH740,2)</f>
        <v>862349.91</v>
      </c>
    </row>
    <row r="740" spans="1:35" ht="30" customHeight="1" x14ac:dyDescent="0.15">
      <c r="A740" s="424"/>
      <c r="B740" s="235"/>
      <c r="C740" s="234"/>
      <c r="D740" s="235"/>
      <c r="E740" s="228"/>
      <c r="F740" s="420" t="s">
        <v>158</v>
      </c>
      <c r="G740" s="421">
        <v>7502</v>
      </c>
      <c r="H740" s="425"/>
      <c r="I740" s="429">
        <f t="shared" si="445"/>
        <v>8.93</v>
      </c>
      <c r="J740" s="228">
        <f>ROUNDDOWN(G740*I740,2)</f>
        <v>66992.86</v>
      </c>
      <c r="K740" s="231"/>
      <c r="M740" s="471"/>
      <c r="N740" s="480"/>
      <c r="O740" s="481"/>
      <c r="P740" s="480"/>
      <c r="Q740" s="470"/>
      <c r="R740" s="467" t="s">
        <v>158</v>
      </c>
      <c r="S740" s="468">
        <v>7502</v>
      </c>
      <c r="T740" s="472"/>
      <c r="U740" s="478">
        <f t="shared" si="447"/>
        <v>8.25</v>
      </c>
      <c r="V740" s="470">
        <f t="shared" si="442"/>
        <v>61891.5</v>
      </c>
      <c r="W740" s="482"/>
      <c r="X740" s="2"/>
      <c r="Y740" s="424"/>
      <c r="Z740" s="235"/>
      <c r="AA740" s="234"/>
      <c r="AB740" s="235"/>
      <c r="AC740" s="228"/>
      <c r="AD740" s="420" t="s">
        <v>158</v>
      </c>
      <c r="AE740" s="421">
        <v>7502</v>
      </c>
      <c r="AF740" s="425"/>
      <c r="AG740" s="429">
        <f t="shared" si="449"/>
        <v>8.93</v>
      </c>
      <c r="AH740" s="228">
        <f t="shared" si="443"/>
        <v>66992.86</v>
      </c>
      <c r="AI740" s="231"/>
    </row>
    <row r="741" spans="1:35" ht="30" customHeight="1" x14ac:dyDescent="0.15">
      <c r="A741" s="426" t="s">
        <v>74</v>
      </c>
      <c r="B741" s="415">
        <f>B739</f>
        <v>355</v>
      </c>
      <c r="C741" s="427">
        <f>C739</f>
        <v>1296</v>
      </c>
      <c r="D741" s="415">
        <f>D739</f>
        <v>100</v>
      </c>
      <c r="E741" s="417">
        <f>ROUNDDOWN(B741*C741*((185-D741)/100),2)</f>
        <v>391068</v>
      </c>
      <c r="F741" s="420" t="str">
        <f>F739</f>
        <v>その他季昼間</v>
      </c>
      <c r="G741" s="421">
        <v>9140</v>
      </c>
      <c r="H741" s="428">
        <f t="shared" si="444"/>
        <v>17845</v>
      </c>
      <c r="I741" s="429">
        <f t="shared" si="445"/>
        <v>20.97</v>
      </c>
      <c r="J741" s="228">
        <f t="shared" si="441"/>
        <v>191665.8</v>
      </c>
      <c r="K741" s="414">
        <f>ROUNDDOWN(J741+E741+J742,2)</f>
        <v>660469.44999999995</v>
      </c>
      <c r="M741" s="473" t="s">
        <v>74</v>
      </c>
      <c r="N741" s="474">
        <f>N739</f>
        <v>355</v>
      </c>
      <c r="O741" s="475">
        <f>O739</f>
        <v>610</v>
      </c>
      <c r="P741" s="474">
        <f>P739</f>
        <v>100</v>
      </c>
      <c r="Q741" s="476">
        <f>ROUNDDOWN(N741*O741*((185-P741)/100),2)</f>
        <v>184067.5</v>
      </c>
      <c r="R741" s="467" t="str">
        <f>R739</f>
        <v>その他季昼間</v>
      </c>
      <c r="S741" s="468">
        <v>9140</v>
      </c>
      <c r="T741" s="477">
        <f t="shared" si="446"/>
        <v>17845</v>
      </c>
      <c r="U741" s="478">
        <f t="shared" si="447"/>
        <v>19.420000000000002</v>
      </c>
      <c r="V741" s="470">
        <f t="shared" si="442"/>
        <v>177498.8</v>
      </c>
      <c r="W741" s="479">
        <f>ROUNDDOWN(V741+Q741+V742,2)</f>
        <v>433382.55</v>
      </c>
      <c r="X741" s="2"/>
      <c r="Y741" s="426" t="s">
        <v>74</v>
      </c>
      <c r="Z741" s="415">
        <f>Z739</f>
        <v>355</v>
      </c>
      <c r="AA741" s="427">
        <f>AA739</f>
        <v>2008.8</v>
      </c>
      <c r="AB741" s="415">
        <f>AB739</f>
        <v>100</v>
      </c>
      <c r="AC741" s="417">
        <f>ROUNDDOWN(Z741*AA741*((185-AB741)/100),2)</f>
        <v>606155.4</v>
      </c>
      <c r="AD741" s="420" t="str">
        <f>AD739</f>
        <v>その他季昼間</v>
      </c>
      <c r="AE741" s="421">
        <v>9140</v>
      </c>
      <c r="AF741" s="428">
        <f t="shared" si="448"/>
        <v>17845</v>
      </c>
      <c r="AG741" s="429">
        <f t="shared" si="449"/>
        <v>13.31</v>
      </c>
      <c r="AH741" s="228">
        <f t="shared" si="443"/>
        <v>121653.4</v>
      </c>
      <c r="AI741" s="414">
        <f>ROUNDDOWN(AH741+AC741+AH742,2)</f>
        <v>805544.45</v>
      </c>
    </row>
    <row r="742" spans="1:35" ht="30" customHeight="1" x14ac:dyDescent="0.15">
      <c r="A742" s="424"/>
      <c r="B742" s="235"/>
      <c r="C742" s="234"/>
      <c r="D742" s="235"/>
      <c r="E742" s="228"/>
      <c r="F742" s="420" t="s">
        <v>158</v>
      </c>
      <c r="G742" s="421">
        <v>8705</v>
      </c>
      <c r="H742" s="425"/>
      <c r="I742" s="429">
        <f t="shared" si="445"/>
        <v>8.93</v>
      </c>
      <c r="J742" s="228">
        <f t="shared" si="441"/>
        <v>77735.649999999994</v>
      </c>
      <c r="K742" s="231"/>
      <c r="M742" s="471"/>
      <c r="N742" s="480"/>
      <c r="O742" s="481"/>
      <c r="P742" s="480"/>
      <c r="Q742" s="470"/>
      <c r="R742" s="467" t="s">
        <v>158</v>
      </c>
      <c r="S742" s="468">
        <v>8705</v>
      </c>
      <c r="T742" s="472"/>
      <c r="U742" s="478">
        <f t="shared" si="447"/>
        <v>8.25</v>
      </c>
      <c r="V742" s="470">
        <f t="shared" si="442"/>
        <v>71816.25</v>
      </c>
      <c r="W742" s="482"/>
      <c r="X742" s="2"/>
      <c r="Y742" s="424"/>
      <c r="Z742" s="235"/>
      <c r="AA742" s="234"/>
      <c r="AB742" s="235"/>
      <c r="AC742" s="228"/>
      <c r="AD742" s="420" t="s">
        <v>158</v>
      </c>
      <c r="AE742" s="421">
        <v>8705</v>
      </c>
      <c r="AF742" s="425"/>
      <c r="AG742" s="429">
        <f t="shared" si="449"/>
        <v>8.93</v>
      </c>
      <c r="AH742" s="228">
        <f t="shared" si="443"/>
        <v>77735.649999999994</v>
      </c>
      <c r="AI742" s="231"/>
    </row>
    <row r="743" spans="1:35" ht="30" customHeight="1" x14ac:dyDescent="0.15">
      <c r="A743" s="426" t="s">
        <v>75</v>
      </c>
      <c r="B743" s="415">
        <f>B741</f>
        <v>355</v>
      </c>
      <c r="C743" s="427">
        <f>C741</f>
        <v>1296</v>
      </c>
      <c r="D743" s="415">
        <f>D741</f>
        <v>100</v>
      </c>
      <c r="E743" s="417">
        <f>ROUNDDOWN(B743*C743*((185-D743)/100),2)</f>
        <v>391068</v>
      </c>
      <c r="F743" s="420" t="str">
        <f>F741</f>
        <v>その他季昼間</v>
      </c>
      <c r="G743" s="421">
        <v>12287</v>
      </c>
      <c r="H743" s="428">
        <f t="shared" si="444"/>
        <v>22074</v>
      </c>
      <c r="I743" s="429">
        <f t="shared" si="445"/>
        <v>20.97</v>
      </c>
      <c r="J743" s="228">
        <f t="shared" si="441"/>
        <v>257658.39</v>
      </c>
      <c r="K743" s="414">
        <f>ROUNDDOWN(J743+E743+J744,2)</f>
        <v>736124.3</v>
      </c>
      <c r="M743" s="473" t="s">
        <v>75</v>
      </c>
      <c r="N743" s="474">
        <f>N741</f>
        <v>355</v>
      </c>
      <c r="O743" s="475">
        <f>O741</f>
        <v>610</v>
      </c>
      <c r="P743" s="474">
        <f>P741</f>
        <v>100</v>
      </c>
      <c r="Q743" s="476">
        <f>ROUNDDOWN(N743*O743*((185-P743)/100),2)</f>
        <v>184067.5</v>
      </c>
      <c r="R743" s="467" t="str">
        <f>R741</f>
        <v>その他季昼間</v>
      </c>
      <c r="S743" s="468">
        <v>12287</v>
      </c>
      <c r="T743" s="477">
        <f t="shared" si="446"/>
        <v>22074</v>
      </c>
      <c r="U743" s="478">
        <f t="shared" si="447"/>
        <v>19.420000000000002</v>
      </c>
      <c r="V743" s="470">
        <f t="shared" si="442"/>
        <v>238613.54</v>
      </c>
      <c r="W743" s="479">
        <f>ROUNDDOWN(V743+Q743+V744,2)</f>
        <v>503423.79</v>
      </c>
      <c r="X743" s="2"/>
      <c r="Y743" s="426" t="s">
        <v>75</v>
      </c>
      <c r="Z743" s="415">
        <f>Z741</f>
        <v>355</v>
      </c>
      <c r="AA743" s="427">
        <f>AA741</f>
        <v>2008.8</v>
      </c>
      <c r="AB743" s="415">
        <f>AB741</f>
        <v>100</v>
      </c>
      <c r="AC743" s="417">
        <f>ROUNDDOWN(Z743*AA743*((185-AB743)/100),2)</f>
        <v>606155.4</v>
      </c>
      <c r="AD743" s="420" t="str">
        <f>AD741</f>
        <v>その他季昼間</v>
      </c>
      <c r="AE743" s="421">
        <v>12287</v>
      </c>
      <c r="AF743" s="428">
        <f t="shared" si="448"/>
        <v>22074</v>
      </c>
      <c r="AG743" s="429">
        <f t="shared" si="449"/>
        <v>13.31</v>
      </c>
      <c r="AH743" s="228">
        <f t="shared" si="443"/>
        <v>163539.97</v>
      </c>
      <c r="AI743" s="414">
        <f>ROUNDDOWN(AH743+AC743+AH744,2)</f>
        <v>857093.28</v>
      </c>
    </row>
    <row r="744" spans="1:35" ht="30" customHeight="1" x14ac:dyDescent="0.15">
      <c r="A744" s="424"/>
      <c r="B744" s="235"/>
      <c r="C744" s="234"/>
      <c r="D744" s="235"/>
      <c r="E744" s="228"/>
      <c r="F744" s="420" t="s">
        <v>158</v>
      </c>
      <c r="G744" s="421">
        <v>9787</v>
      </c>
      <c r="H744" s="425"/>
      <c r="I744" s="429">
        <f t="shared" si="445"/>
        <v>8.93</v>
      </c>
      <c r="J744" s="228">
        <f>ROUNDDOWN(G744*I744,2)</f>
        <v>87397.91</v>
      </c>
      <c r="K744" s="231"/>
      <c r="M744" s="471"/>
      <c r="N744" s="480"/>
      <c r="O744" s="481"/>
      <c r="P744" s="480"/>
      <c r="Q744" s="470"/>
      <c r="R744" s="467" t="s">
        <v>158</v>
      </c>
      <c r="S744" s="468">
        <v>9787</v>
      </c>
      <c r="T744" s="472"/>
      <c r="U744" s="478">
        <f t="shared" si="447"/>
        <v>8.25</v>
      </c>
      <c r="V744" s="470">
        <f t="shared" si="442"/>
        <v>80742.75</v>
      </c>
      <c r="W744" s="482"/>
      <c r="X744" s="2"/>
      <c r="Y744" s="424"/>
      <c r="Z744" s="235"/>
      <c r="AA744" s="234"/>
      <c r="AB744" s="235"/>
      <c r="AC744" s="228"/>
      <c r="AD744" s="420" t="s">
        <v>158</v>
      </c>
      <c r="AE744" s="421">
        <v>9787</v>
      </c>
      <c r="AF744" s="425"/>
      <c r="AG744" s="429">
        <f t="shared" si="449"/>
        <v>8.93</v>
      </c>
      <c r="AH744" s="228">
        <f t="shared" si="443"/>
        <v>87397.91</v>
      </c>
      <c r="AI744" s="231"/>
    </row>
    <row r="745" spans="1:35" ht="30" customHeight="1" x14ac:dyDescent="0.15">
      <c r="A745" s="426" t="s">
        <v>76</v>
      </c>
      <c r="B745" s="415">
        <f>B743</f>
        <v>355</v>
      </c>
      <c r="C745" s="427">
        <f>C743</f>
        <v>1296</v>
      </c>
      <c r="D745" s="415">
        <f>D743</f>
        <v>100</v>
      </c>
      <c r="E745" s="417">
        <f>ROUNDDOWN(B745*C745*((185-D745)/100),2)</f>
        <v>391068</v>
      </c>
      <c r="F745" s="420" t="str">
        <f>F743</f>
        <v>その他季昼間</v>
      </c>
      <c r="G745" s="421">
        <v>13153</v>
      </c>
      <c r="H745" s="428">
        <f t="shared" si="444"/>
        <v>20027</v>
      </c>
      <c r="I745" s="429">
        <f t="shared" si="445"/>
        <v>20.97</v>
      </c>
      <c r="J745" s="228">
        <f t="shared" si="441"/>
        <v>275818.40999999997</v>
      </c>
      <c r="K745" s="414">
        <f>ROUNDDOWN(J745+E745+J746,2)</f>
        <v>728271.23</v>
      </c>
      <c r="M745" s="473" t="s">
        <v>76</v>
      </c>
      <c r="N745" s="474">
        <f>N743</f>
        <v>355</v>
      </c>
      <c r="O745" s="475">
        <f>O743</f>
        <v>610</v>
      </c>
      <c r="P745" s="474">
        <f>P743</f>
        <v>100</v>
      </c>
      <c r="Q745" s="476">
        <f>ROUNDDOWN(N745*O745*((185-P745)/100),2)</f>
        <v>184067.5</v>
      </c>
      <c r="R745" s="467" t="str">
        <f>R743</f>
        <v>その他季昼間</v>
      </c>
      <c r="S745" s="468">
        <v>13153</v>
      </c>
      <c r="T745" s="477">
        <f t="shared" si="446"/>
        <v>20027</v>
      </c>
      <c r="U745" s="478">
        <f t="shared" si="447"/>
        <v>19.420000000000002</v>
      </c>
      <c r="V745" s="470">
        <f t="shared" ref="V745:V750" si="450">ROUNDDOWN(S745*U745,2)</f>
        <v>255431.26</v>
      </c>
      <c r="W745" s="479">
        <f>ROUNDDOWN(V745+Q745+V746,2)</f>
        <v>496209.26</v>
      </c>
      <c r="X745" s="2"/>
      <c r="Y745" s="426" t="s">
        <v>76</v>
      </c>
      <c r="Z745" s="415">
        <f>Z743</f>
        <v>355</v>
      </c>
      <c r="AA745" s="427">
        <f>AA743</f>
        <v>2008.8</v>
      </c>
      <c r="AB745" s="415">
        <f>AB743</f>
        <v>100</v>
      </c>
      <c r="AC745" s="417">
        <f>ROUNDDOWN(Z745*AA745*((185-AB745)/100),2)</f>
        <v>606155.4</v>
      </c>
      <c r="AD745" s="420" t="str">
        <f>AD743</f>
        <v>その他季昼間</v>
      </c>
      <c r="AE745" s="421">
        <v>13153</v>
      </c>
      <c r="AF745" s="428">
        <f t="shared" si="448"/>
        <v>20027</v>
      </c>
      <c r="AG745" s="429">
        <f t="shared" si="449"/>
        <v>13.31</v>
      </c>
      <c r="AH745" s="228">
        <f t="shared" ref="AH745:AH750" si="451">ROUNDDOWN(AE745*AG745,2)</f>
        <v>175066.43</v>
      </c>
      <c r="AI745" s="414">
        <f>ROUNDDOWN(AH745+AC745+AH746,2)</f>
        <v>842606.65</v>
      </c>
    </row>
    <row r="746" spans="1:35" ht="30" customHeight="1" x14ac:dyDescent="0.15">
      <c r="A746" s="424"/>
      <c r="B746" s="235"/>
      <c r="C746" s="234"/>
      <c r="D746" s="235"/>
      <c r="E746" s="228"/>
      <c r="F746" s="420" t="s">
        <v>158</v>
      </c>
      <c r="G746" s="421">
        <v>6874</v>
      </c>
      <c r="H746" s="425"/>
      <c r="I746" s="429">
        <f t="shared" si="445"/>
        <v>8.93</v>
      </c>
      <c r="J746" s="228">
        <f t="shared" si="441"/>
        <v>61384.82</v>
      </c>
      <c r="K746" s="231"/>
      <c r="M746" s="471"/>
      <c r="N746" s="480"/>
      <c r="O746" s="481"/>
      <c r="P746" s="480"/>
      <c r="Q746" s="470"/>
      <c r="R746" s="467" t="s">
        <v>158</v>
      </c>
      <c r="S746" s="468">
        <v>6874</v>
      </c>
      <c r="T746" s="472"/>
      <c r="U746" s="478">
        <f t="shared" si="447"/>
        <v>8.25</v>
      </c>
      <c r="V746" s="470">
        <f t="shared" si="450"/>
        <v>56710.5</v>
      </c>
      <c r="W746" s="482"/>
      <c r="X746" s="2"/>
      <c r="Y746" s="424"/>
      <c r="Z746" s="235"/>
      <c r="AA746" s="234"/>
      <c r="AB746" s="235"/>
      <c r="AC746" s="228"/>
      <c r="AD746" s="420" t="s">
        <v>158</v>
      </c>
      <c r="AE746" s="421">
        <v>6874</v>
      </c>
      <c r="AF746" s="425"/>
      <c r="AG746" s="429">
        <f t="shared" si="449"/>
        <v>8.93</v>
      </c>
      <c r="AH746" s="228">
        <f t="shared" si="451"/>
        <v>61384.82</v>
      </c>
      <c r="AI746" s="231"/>
    </row>
    <row r="747" spans="1:35" ht="30" customHeight="1" x14ac:dyDescent="0.15">
      <c r="A747" s="426" t="s">
        <v>77</v>
      </c>
      <c r="B747" s="415">
        <f>B745</f>
        <v>355</v>
      </c>
      <c r="C747" s="430">
        <f>C745</f>
        <v>1296</v>
      </c>
      <c r="D747" s="416">
        <f>D745</f>
        <v>100</v>
      </c>
      <c r="E747" s="414">
        <f>ROUNDDOWN(B747*C747*((185-D747)/100),2)</f>
        <v>391068</v>
      </c>
      <c r="F747" s="420" t="s">
        <v>159</v>
      </c>
      <c r="G747" s="421">
        <v>3245</v>
      </c>
      <c r="H747" s="428">
        <f>SUM(G747:G749)</f>
        <v>23659</v>
      </c>
      <c r="I747" s="226">
        <v>26.01</v>
      </c>
      <c r="J747" s="414">
        <f t="shared" si="441"/>
        <v>84402.45</v>
      </c>
      <c r="K747" s="431">
        <f>ROUNDDOWN(J747+E747+J748+J749,2)</f>
        <v>803157.52</v>
      </c>
      <c r="M747" s="473" t="s">
        <v>77</v>
      </c>
      <c r="N747" s="474">
        <f>N745</f>
        <v>355</v>
      </c>
      <c r="O747" s="483">
        <f>O745</f>
        <v>610</v>
      </c>
      <c r="P747" s="484">
        <f>P745</f>
        <v>100</v>
      </c>
      <c r="Q747" s="479">
        <f>ROUNDDOWN(N747*O747*((185-P747)/100),2)</f>
        <v>184067.5</v>
      </c>
      <c r="R747" s="467" t="s">
        <v>160</v>
      </c>
      <c r="S747" s="468">
        <v>3245</v>
      </c>
      <c r="T747" s="477">
        <f>SUM(S747:S749)</f>
        <v>23659</v>
      </c>
      <c r="U747" s="123">
        <v>24.07</v>
      </c>
      <c r="V747" s="479">
        <f t="shared" si="450"/>
        <v>78107.149999999994</v>
      </c>
      <c r="W747" s="485">
        <f>ROUNDDOWN(V747+Q747+V748+V749,2)</f>
        <v>565396.25</v>
      </c>
      <c r="X747" s="2"/>
      <c r="Y747" s="426" t="s">
        <v>77</v>
      </c>
      <c r="Z747" s="415">
        <f>Z745</f>
        <v>355</v>
      </c>
      <c r="AA747" s="430">
        <f>AA745</f>
        <v>2008.8</v>
      </c>
      <c r="AB747" s="416">
        <f>AB745</f>
        <v>100</v>
      </c>
      <c r="AC747" s="414">
        <f>ROUNDDOWN(Z747*AA747*((185-AB747)/100),2)</f>
        <v>606155.4</v>
      </c>
      <c r="AD747" s="420" t="s">
        <v>159</v>
      </c>
      <c r="AE747" s="421">
        <v>3245</v>
      </c>
      <c r="AF747" s="428">
        <f>SUM(AE747:AE749)</f>
        <v>23659</v>
      </c>
      <c r="AG747" s="226">
        <v>16.670000000000002</v>
      </c>
      <c r="AH747" s="414">
        <f t="shared" si="451"/>
        <v>54094.15</v>
      </c>
      <c r="AI747" s="431">
        <f>ROUNDDOWN(AH747+AC747+AH748+AH749,2)</f>
        <v>901816.69</v>
      </c>
    </row>
    <row r="748" spans="1:35" ht="30" customHeight="1" x14ac:dyDescent="0.15">
      <c r="A748" s="411"/>
      <c r="B748" s="416"/>
      <c r="C748" s="430"/>
      <c r="D748" s="416"/>
      <c r="E748" s="414"/>
      <c r="F748" s="420" t="s">
        <v>161</v>
      </c>
      <c r="G748" s="421">
        <v>11141</v>
      </c>
      <c r="H748" s="428"/>
      <c r="I748" s="226">
        <v>21.98</v>
      </c>
      <c r="J748" s="432">
        <f t="shared" si="441"/>
        <v>244879.18</v>
      </c>
      <c r="K748" s="431"/>
      <c r="M748" s="459"/>
      <c r="N748" s="484"/>
      <c r="O748" s="483"/>
      <c r="P748" s="484"/>
      <c r="Q748" s="479"/>
      <c r="R748" s="467" t="s">
        <v>161</v>
      </c>
      <c r="S748" s="468">
        <v>11141</v>
      </c>
      <c r="T748" s="477"/>
      <c r="U748" s="123">
        <v>20.350000000000001</v>
      </c>
      <c r="V748" s="486">
        <f t="shared" si="450"/>
        <v>226719.35</v>
      </c>
      <c r="W748" s="485"/>
      <c r="X748" s="2"/>
      <c r="Y748" s="411"/>
      <c r="Z748" s="416"/>
      <c r="AA748" s="430"/>
      <c r="AB748" s="416"/>
      <c r="AC748" s="414"/>
      <c r="AD748" s="420" t="s">
        <v>161</v>
      </c>
      <c r="AE748" s="421">
        <v>11141</v>
      </c>
      <c r="AF748" s="428"/>
      <c r="AG748" s="226">
        <v>14.25</v>
      </c>
      <c r="AH748" s="432">
        <f t="shared" si="451"/>
        <v>158759.25</v>
      </c>
      <c r="AI748" s="431"/>
    </row>
    <row r="749" spans="1:35" ht="30" customHeight="1" x14ac:dyDescent="0.15">
      <c r="A749" s="424"/>
      <c r="B749" s="235"/>
      <c r="C749" s="234"/>
      <c r="D749" s="235"/>
      <c r="E749" s="228"/>
      <c r="F749" s="420" t="s">
        <v>158</v>
      </c>
      <c r="G749" s="421">
        <v>9273</v>
      </c>
      <c r="H749" s="433"/>
      <c r="I749" s="429">
        <f t="shared" ref="I749:I755" si="452">I746</f>
        <v>8.93</v>
      </c>
      <c r="J749" s="432">
        <f t="shared" si="441"/>
        <v>82807.89</v>
      </c>
      <c r="K749" s="231"/>
      <c r="M749" s="471"/>
      <c r="N749" s="480"/>
      <c r="O749" s="481"/>
      <c r="P749" s="480"/>
      <c r="Q749" s="470"/>
      <c r="R749" s="467" t="s">
        <v>158</v>
      </c>
      <c r="S749" s="468">
        <v>9273</v>
      </c>
      <c r="T749" s="487"/>
      <c r="U749" s="478">
        <f t="shared" ref="U749:U755" si="453">U746</f>
        <v>8.25</v>
      </c>
      <c r="V749" s="486">
        <f t="shared" si="450"/>
        <v>76502.25</v>
      </c>
      <c r="W749" s="482"/>
      <c r="X749" s="2"/>
      <c r="Y749" s="424"/>
      <c r="Z749" s="235"/>
      <c r="AA749" s="234"/>
      <c r="AB749" s="235"/>
      <c r="AC749" s="228"/>
      <c r="AD749" s="420" t="s">
        <v>158</v>
      </c>
      <c r="AE749" s="421">
        <v>9273</v>
      </c>
      <c r="AF749" s="433"/>
      <c r="AG749" s="429">
        <f t="shared" ref="AG749:AG755" si="454">AG746</f>
        <v>8.93</v>
      </c>
      <c r="AH749" s="432">
        <f t="shared" si="451"/>
        <v>82807.89</v>
      </c>
      <c r="AI749" s="231"/>
    </row>
    <row r="750" spans="1:35" ht="30" customHeight="1" x14ac:dyDescent="0.15">
      <c r="A750" s="426" t="s">
        <v>78</v>
      </c>
      <c r="B750" s="415">
        <f>B747</f>
        <v>355</v>
      </c>
      <c r="C750" s="430">
        <f>C747</f>
        <v>1296</v>
      </c>
      <c r="D750" s="416">
        <f>D747</f>
        <v>100</v>
      </c>
      <c r="E750" s="414">
        <f>ROUNDDOWN(B750*C750*((185-D750)/100),2)</f>
        <v>391068</v>
      </c>
      <c r="F750" s="420" t="str">
        <f>F747</f>
        <v>ピーク</v>
      </c>
      <c r="G750" s="421">
        <v>3975</v>
      </c>
      <c r="H750" s="428">
        <f>SUM(G750:G752)</f>
        <v>29545</v>
      </c>
      <c r="I750" s="429">
        <f t="shared" si="452"/>
        <v>26.01</v>
      </c>
      <c r="J750" s="228">
        <f t="shared" si="441"/>
        <v>103389.75</v>
      </c>
      <c r="K750" s="431">
        <f>ROUNDDOWN(J750+E750+J751+J752,2)</f>
        <v>924211.55</v>
      </c>
      <c r="M750" s="473" t="s">
        <v>78</v>
      </c>
      <c r="N750" s="474">
        <f>N747</f>
        <v>355</v>
      </c>
      <c r="O750" s="483">
        <f>O747</f>
        <v>610</v>
      </c>
      <c r="P750" s="484">
        <f>P747</f>
        <v>100</v>
      </c>
      <c r="Q750" s="479">
        <f>ROUNDDOWN(N750*O750*((185-P750)/100),2)</f>
        <v>184067.5</v>
      </c>
      <c r="R750" s="467" t="str">
        <f>R747</f>
        <v>ピーク</v>
      </c>
      <c r="S750" s="468">
        <v>3975</v>
      </c>
      <c r="T750" s="477">
        <f>SUM(S750:S752)</f>
        <v>29545</v>
      </c>
      <c r="U750" s="478">
        <f t="shared" si="453"/>
        <v>24.07</v>
      </c>
      <c r="V750" s="470">
        <f t="shared" si="450"/>
        <v>95678.25</v>
      </c>
      <c r="W750" s="485">
        <f>ROUNDDOWN(V750+Q750+V751+V752,2)</f>
        <v>677449.65</v>
      </c>
      <c r="X750" s="2"/>
      <c r="Y750" s="426" t="s">
        <v>78</v>
      </c>
      <c r="Z750" s="415">
        <f>Z747</f>
        <v>355</v>
      </c>
      <c r="AA750" s="430">
        <f>AA747</f>
        <v>2008.8</v>
      </c>
      <c r="AB750" s="416">
        <f>AB747</f>
        <v>100</v>
      </c>
      <c r="AC750" s="414">
        <f>ROUNDDOWN(Z750*AA750*((185-AB750)/100),2)</f>
        <v>606155.4</v>
      </c>
      <c r="AD750" s="420" t="str">
        <f>AD747</f>
        <v>ピーク</v>
      </c>
      <c r="AE750" s="421">
        <v>3975</v>
      </c>
      <c r="AF750" s="428">
        <f>SUM(AE750:AE752)</f>
        <v>29545</v>
      </c>
      <c r="AG750" s="429">
        <f t="shared" si="454"/>
        <v>16.670000000000002</v>
      </c>
      <c r="AH750" s="228">
        <f t="shared" si="451"/>
        <v>66263.25</v>
      </c>
      <c r="AI750" s="431">
        <f>ROUNDDOWN(AH750+AC750+AH751+AH752,2)</f>
        <v>982867.63</v>
      </c>
    </row>
    <row r="751" spans="1:35" ht="30" customHeight="1" x14ac:dyDescent="0.15">
      <c r="A751" s="411"/>
      <c r="B751" s="416"/>
      <c r="C751" s="430"/>
      <c r="D751" s="416"/>
      <c r="E751" s="414"/>
      <c r="F751" s="420" t="s">
        <v>161</v>
      </c>
      <c r="G751" s="421">
        <v>15434</v>
      </c>
      <c r="H751" s="428"/>
      <c r="I751" s="429">
        <f t="shared" si="452"/>
        <v>21.98</v>
      </c>
      <c r="J751" s="432">
        <f>ROUNDDOWN(G751*I751,2)</f>
        <v>339239.32</v>
      </c>
      <c r="K751" s="431"/>
      <c r="M751" s="459"/>
      <c r="N751" s="484"/>
      <c r="O751" s="483"/>
      <c r="P751" s="484"/>
      <c r="Q751" s="479"/>
      <c r="R751" s="467" t="s">
        <v>161</v>
      </c>
      <c r="S751" s="468">
        <v>15434</v>
      </c>
      <c r="T751" s="477"/>
      <c r="U751" s="478">
        <f t="shared" si="453"/>
        <v>20.350000000000001</v>
      </c>
      <c r="V751" s="486">
        <f>ROUNDDOWN(S751*U751,2)</f>
        <v>314081.90000000002</v>
      </c>
      <c r="W751" s="485"/>
      <c r="X751" s="2"/>
      <c r="Y751" s="411"/>
      <c r="Z751" s="416"/>
      <c r="AA751" s="430"/>
      <c r="AB751" s="416"/>
      <c r="AC751" s="414"/>
      <c r="AD751" s="420" t="s">
        <v>161</v>
      </c>
      <c r="AE751" s="421">
        <v>15434</v>
      </c>
      <c r="AF751" s="428"/>
      <c r="AG751" s="429">
        <f t="shared" si="454"/>
        <v>14.25</v>
      </c>
      <c r="AH751" s="432">
        <f>ROUNDDOWN(AE751*AG751,2)</f>
        <v>219934.5</v>
      </c>
      <c r="AI751" s="431"/>
    </row>
    <row r="752" spans="1:35" ht="30" customHeight="1" x14ac:dyDescent="0.15">
      <c r="A752" s="424"/>
      <c r="B752" s="235"/>
      <c r="C752" s="234"/>
      <c r="D752" s="235"/>
      <c r="E752" s="228"/>
      <c r="F752" s="420" t="s">
        <v>158</v>
      </c>
      <c r="G752" s="421">
        <v>10136</v>
      </c>
      <c r="H752" s="433"/>
      <c r="I752" s="429">
        <f t="shared" si="452"/>
        <v>8.93</v>
      </c>
      <c r="J752" s="432">
        <f>ROUNDDOWN(G752*I752,2)</f>
        <v>90514.48</v>
      </c>
      <c r="K752" s="231"/>
      <c r="M752" s="471"/>
      <c r="N752" s="480"/>
      <c r="O752" s="481"/>
      <c r="P752" s="480"/>
      <c r="Q752" s="470"/>
      <c r="R752" s="467" t="s">
        <v>158</v>
      </c>
      <c r="S752" s="468">
        <v>10136</v>
      </c>
      <c r="T752" s="487"/>
      <c r="U752" s="478">
        <f t="shared" si="453"/>
        <v>8.25</v>
      </c>
      <c r="V752" s="486">
        <f>ROUNDDOWN(S752*U752,2)</f>
        <v>83622</v>
      </c>
      <c r="W752" s="482"/>
      <c r="X752" s="2"/>
      <c r="Y752" s="424"/>
      <c r="Z752" s="235"/>
      <c r="AA752" s="234"/>
      <c r="AB752" s="235"/>
      <c r="AC752" s="228"/>
      <c r="AD752" s="420" t="s">
        <v>158</v>
      </c>
      <c r="AE752" s="421">
        <v>10136</v>
      </c>
      <c r="AF752" s="433"/>
      <c r="AG752" s="429">
        <f t="shared" si="454"/>
        <v>8.93</v>
      </c>
      <c r="AH752" s="432">
        <f>ROUNDDOWN(AE752*AG752,2)</f>
        <v>90514.48</v>
      </c>
      <c r="AI752" s="231"/>
    </row>
    <row r="753" spans="1:35" ht="30" customHeight="1" x14ac:dyDescent="0.15">
      <c r="A753" s="426" t="s">
        <v>79</v>
      </c>
      <c r="B753" s="415">
        <f>B750</f>
        <v>355</v>
      </c>
      <c r="C753" s="427">
        <f>C750</f>
        <v>1296</v>
      </c>
      <c r="D753" s="415">
        <f>D750</f>
        <v>100</v>
      </c>
      <c r="E753" s="417">
        <f>ROUNDDOWN(B753*C753*((185-D753)/100),2)</f>
        <v>391068</v>
      </c>
      <c r="F753" s="420" t="str">
        <f>F750</f>
        <v>ピーク</v>
      </c>
      <c r="G753" s="421">
        <v>2291</v>
      </c>
      <c r="H753" s="428">
        <f>SUM(G753:G755)</f>
        <v>24097</v>
      </c>
      <c r="I753" s="429">
        <f t="shared" si="452"/>
        <v>26.01</v>
      </c>
      <c r="J753" s="228">
        <f t="shared" si="441"/>
        <v>59588.91</v>
      </c>
      <c r="K753" s="431">
        <f>ROUNDDOWN(J753+E753+J754+J755,2)</f>
        <v>805468.84</v>
      </c>
      <c r="M753" s="473" t="s">
        <v>79</v>
      </c>
      <c r="N753" s="474">
        <f>N750</f>
        <v>355</v>
      </c>
      <c r="O753" s="475">
        <f>O750</f>
        <v>610</v>
      </c>
      <c r="P753" s="474">
        <f>P750</f>
        <v>100</v>
      </c>
      <c r="Q753" s="476">
        <f>ROUNDDOWN(N753*O753*((185-P753)/100),2)</f>
        <v>184067.5</v>
      </c>
      <c r="R753" s="467" t="str">
        <f>R750</f>
        <v>ピーク</v>
      </c>
      <c r="S753" s="468">
        <v>2291</v>
      </c>
      <c r="T753" s="477">
        <f>SUM(S753:S755)</f>
        <v>24097</v>
      </c>
      <c r="U753" s="478">
        <f t="shared" si="453"/>
        <v>24.07</v>
      </c>
      <c r="V753" s="470">
        <f t="shared" ref="V753:V758" si="455">ROUNDDOWN(S753*U753,2)</f>
        <v>55144.37</v>
      </c>
      <c r="W753" s="485">
        <f>ROUNDDOWN(V753+Q753+V754+V755,2)</f>
        <v>567542.06999999995</v>
      </c>
      <c r="X753" s="2"/>
      <c r="Y753" s="426" t="s">
        <v>79</v>
      </c>
      <c r="Z753" s="415">
        <f>Z750</f>
        <v>355</v>
      </c>
      <c r="AA753" s="427">
        <f>AA750</f>
        <v>2008.8</v>
      </c>
      <c r="AB753" s="415">
        <f>AB750</f>
        <v>100</v>
      </c>
      <c r="AC753" s="417">
        <f>ROUNDDOWN(Z753*AA753*((185-AB753)/100),2)</f>
        <v>606155.4</v>
      </c>
      <c r="AD753" s="420" t="str">
        <f>AD750</f>
        <v>ピーク</v>
      </c>
      <c r="AE753" s="421">
        <v>2291</v>
      </c>
      <c r="AF753" s="428">
        <f>SUM(AE753:AE755)</f>
        <v>24097</v>
      </c>
      <c r="AG753" s="429">
        <f t="shared" si="454"/>
        <v>16.670000000000002</v>
      </c>
      <c r="AH753" s="228">
        <f t="shared" ref="AH753:AH758" si="456">ROUNDDOWN(AE753*AG753,2)</f>
        <v>38190.97</v>
      </c>
      <c r="AI753" s="431">
        <f>ROUNDDOWN(AH753+AC753+AH754+AH755,2)</f>
        <v>904334.39</v>
      </c>
    </row>
    <row r="754" spans="1:35" ht="30" customHeight="1" x14ac:dyDescent="0.15">
      <c r="A754" s="411"/>
      <c r="B754" s="416"/>
      <c r="C754" s="430"/>
      <c r="D754" s="416"/>
      <c r="E754" s="414"/>
      <c r="F754" s="420" t="s">
        <v>161</v>
      </c>
      <c r="G754" s="421">
        <v>12267</v>
      </c>
      <c r="H754" s="428"/>
      <c r="I754" s="429">
        <f t="shared" si="452"/>
        <v>21.98</v>
      </c>
      <c r="J754" s="432">
        <f t="shared" si="441"/>
        <v>269628.65999999997</v>
      </c>
      <c r="K754" s="431"/>
      <c r="M754" s="459"/>
      <c r="N754" s="484"/>
      <c r="O754" s="483"/>
      <c r="P754" s="484"/>
      <c r="Q754" s="479"/>
      <c r="R754" s="467" t="s">
        <v>161</v>
      </c>
      <c r="S754" s="468">
        <v>12267</v>
      </c>
      <c r="T754" s="477"/>
      <c r="U754" s="478">
        <f t="shared" si="453"/>
        <v>20.350000000000001</v>
      </c>
      <c r="V754" s="486">
        <f t="shared" si="455"/>
        <v>249633.45</v>
      </c>
      <c r="W754" s="485"/>
      <c r="X754" s="2"/>
      <c r="Y754" s="411"/>
      <c r="Z754" s="416"/>
      <c r="AA754" s="430"/>
      <c r="AB754" s="416"/>
      <c r="AC754" s="414"/>
      <c r="AD754" s="420" t="s">
        <v>161</v>
      </c>
      <c r="AE754" s="421">
        <v>12267</v>
      </c>
      <c r="AF754" s="428"/>
      <c r="AG754" s="429">
        <f t="shared" si="454"/>
        <v>14.25</v>
      </c>
      <c r="AH754" s="432">
        <f t="shared" si="456"/>
        <v>174804.75</v>
      </c>
      <c r="AI754" s="431"/>
    </row>
    <row r="755" spans="1:35" ht="30" customHeight="1" x14ac:dyDescent="0.15">
      <c r="A755" s="424"/>
      <c r="B755" s="235"/>
      <c r="C755" s="234"/>
      <c r="D755" s="235"/>
      <c r="E755" s="228"/>
      <c r="F755" s="420" t="s">
        <v>158</v>
      </c>
      <c r="G755" s="421">
        <v>9539</v>
      </c>
      <c r="H755" s="433"/>
      <c r="I755" s="429">
        <f t="shared" si="452"/>
        <v>8.93</v>
      </c>
      <c r="J755" s="432">
        <f t="shared" si="441"/>
        <v>85183.27</v>
      </c>
      <c r="K755" s="231"/>
      <c r="M755" s="471"/>
      <c r="N755" s="480"/>
      <c r="O755" s="481"/>
      <c r="P755" s="480"/>
      <c r="Q755" s="470"/>
      <c r="R755" s="467" t="s">
        <v>158</v>
      </c>
      <c r="S755" s="468">
        <v>9539</v>
      </c>
      <c r="T755" s="487"/>
      <c r="U755" s="478">
        <f t="shared" si="453"/>
        <v>8.25</v>
      </c>
      <c r="V755" s="486">
        <f t="shared" si="455"/>
        <v>78696.75</v>
      </c>
      <c r="W755" s="482"/>
      <c r="X755" s="2"/>
      <c r="Y755" s="424"/>
      <c r="Z755" s="235"/>
      <c r="AA755" s="234"/>
      <c r="AB755" s="235"/>
      <c r="AC755" s="228"/>
      <c r="AD755" s="420" t="s">
        <v>158</v>
      </c>
      <c r="AE755" s="421">
        <v>9539</v>
      </c>
      <c r="AF755" s="433"/>
      <c r="AG755" s="429">
        <f t="shared" si="454"/>
        <v>8.93</v>
      </c>
      <c r="AH755" s="432">
        <f t="shared" si="456"/>
        <v>85183.27</v>
      </c>
      <c r="AI755" s="231"/>
    </row>
    <row r="756" spans="1:35" ht="30" customHeight="1" x14ac:dyDescent="0.15">
      <c r="A756" s="426" t="s">
        <v>80</v>
      </c>
      <c r="B756" s="415">
        <f>B753</f>
        <v>355</v>
      </c>
      <c r="C756" s="427">
        <f>C753</f>
        <v>1296</v>
      </c>
      <c r="D756" s="415">
        <f>D753</f>
        <v>100</v>
      </c>
      <c r="E756" s="417">
        <f>ROUNDDOWN(B756*C756*((185-D756)/100),2)</f>
        <v>391068</v>
      </c>
      <c r="F756" s="420" t="str">
        <f>F735</f>
        <v>その他季昼間</v>
      </c>
      <c r="G756" s="421">
        <v>18949</v>
      </c>
      <c r="H756" s="428">
        <f>SUM(G756:G757)</f>
        <v>29206</v>
      </c>
      <c r="I756" s="429">
        <f>I735</f>
        <v>20.97</v>
      </c>
      <c r="J756" s="228">
        <f t="shared" si="441"/>
        <v>397360.53</v>
      </c>
      <c r="K756" s="414">
        <f>ROUNDDOWN(J756+E756+J757,2)</f>
        <v>880023.54</v>
      </c>
      <c r="M756" s="473" t="s">
        <v>80</v>
      </c>
      <c r="N756" s="474">
        <f>N753</f>
        <v>355</v>
      </c>
      <c r="O756" s="475">
        <f>O753</f>
        <v>610</v>
      </c>
      <c r="P756" s="474">
        <f>P753</f>
        <v>100</v>
      </c>
      <c r="Q756" s="476">
        <f>ROUNDDOWN(N756*O756*((185-P756)/100),2)</f>
        <v>184067.5</v>
      </c>
      <c r="R756" s="467" t="str">
        <f>R735</f>
        <v>その他季昼間</v>
      </c>
      <c r="S756" s="468">
        <v>18949</v>
      </c>
      <c r="T756" s="477">
        <f>SUM(S756:S757)</f>
        <v>29206</v>
      </c>
      <c r="U756" s="478">
        <f>U735</f>
        <v>19.420000000000002</v>
      </c>
      <c r="V756" s="470">
        <f t="shared" si="455"/>
        <v>367989.58</v>
      </c>
      <c r="W756" s="479">
        <f>ROUNDDOWN(V756+Q756+V757,2)</f>
        <v>636677.32999999996</v>
      </c>
      <c r="X756" s="2"/>
      <c r="Y756" s="426" t="s">
        <v>80</v>
      </c>
      <c r="Z756" s="415">
        <f>Z753</f>
        <v>355</v>
      </c>
      <c r="AA756" s="427">
        <f>AA753</f>
        <v>2008.8</v>
      </c>
      <c r="AB756" s="415">
        <f>AB753</f>
        <v>100</v>
      </c>
      <c r="AC756" s="417">
        <f>ROUNDDOWN(Z756*AA756*((185-AB756)/100),2)</f>
        <v>606155.4</v>
      </c>
      <c r="AD756" s="420" t="str">
        <f>AD735</f>
        <v>その他季昼間</v>
      </c>
      <c r="AE756" s="421">
        <v>18949</v>
      </c>
      <c r="AF756" s="428">
        <f>SUM(AE756:AE757)</f>
        <v>29206</v>
      </c>
      <c r="AG756" s="429">
        <f>AG735</f>
        <v>13.31</v>
      </c>
      <c r="AH756" s="228">
        <f t="shared" si="456"/>
        <v>252211.19</v>
      </c>
      <c r="AI756" s="414">
        <f>ROUNDDOWN(AH756+AC756+AH757,2)</f>
        <v>949961.6</v>
      </c>
    </row>
    <row r="757" spans="1:35" ht="30" customHeight="1" x14ac:dyDescent="0.15">
      <c r="A757" s="424"/>
      <c r="B757" s="235"/>
      <c r="C757" s="234"/>
      <c r="D757" s="235"/>
      <c r="E757" s="228"/>
      <c r="F757" s="420" t="s">
        <v>158</v>
      </c>
      <c r="G757" s="421">
        <v>10257</v>
      </c>
      <c r="H757" s="425"/>
      <c r="I757" s="429">
        <f>I755</f>
        <v>8.93</v>
      </c>
      <c r="J757" s="228">
        <f t="shared" si="441"/>
        <v>91595.01</v>
      </c>
      <c r="K757" s="231"/>
      <c r="M757" s="471"/>
      <c r="N757" s="480"/>
      <c r="O757" s="481"/>
      <c r="P757" s="480"/>
      <c r="Q757" s="470"/>
      <c r="R757" s="467" t="s">
        <v>158</v>
      </c>
      <c r="S757" s="468">
        <v>10257</v>
      </c>
      <c r="T757" s="472"/>
      <c r="U757" s="478">
        <f>U755</f>
        <v>8.25</v>
      </c>
      <c r="V757" s="470">
        <f t="shared" si="455"/>
        <v>84620.25</v>
      </c>
      <c r="W757" s="482"/>
      <c r="X757" s="2"/>
      <c r="Y757" s="424"/>
      <c r="Z757" s="235"/>
      <c r="AA757" s="234"/>
      <c r="AB757" s="235"/>
      <c r="AC757" s="228"/>
      <c r="AD757" s="420" t="s">
        <v>158</v>
      </c>
      <c r="AE757" s="421">
        <v>10257</v>
      </c>
      <c r="AF757" s="425"/>
      <c r="AG757" s="429">
        <f>AG755</f>
        <v>8.93</v>
      </c>
      <c r="AH757" s="228">
        <f t="shared" si="456"/>
        <v>91595.01</v>
      </c>
      <c r="AI757" s="231"/>
    </row>
    <row r="758" spans="1:35" ht="30" customHeight="1" x14ac:dyDescent="0.15">
      <c r="A758" s="426" t="s">
        <v>81</v>
      </c>
      <c r="B758" s="415">
        <f>B756</f>
        <v>355</v>
      </c>
      <c r="C758" s="427">
        <f>C756</f>
        <v>1296</v>
      </c>
      <c r="D758" s="415">
        <f>D756</f>
        <v>100</v>
      </c>
      <c r="E758" s="417">
        <f>ROUNDDOWN(B758*C758*((185-D758)/100),2)</f>
        <v>391068</v>
      </c>
      <c r="F758" s="420" t="str">
        <f>F756</f>
        <v>その他季昼間</v>
      </c>
      <c r="G758" s="421">
        <v>10919</v>
      </c>
      <c r="H758" s="428">
        <f>SUM(G758:G759)</f>
        <v>19912</v>
      </c>
      <c r="I758" s="434">
        <f>I756</f>
        <v>20.97</v>
      </c>
      <c r="J758" s="228">
        <f t="shared" si="441"/>
        <v>228971.43</v>
      </c>
      <c r="K758" s="414">
        <f>ROUNDDOWN(J758+E758+J759,2)</f>
        <v>700346.92</v>
      </c>
      <c r="M758" s="473" t="s">
        <v>81</v>
      </c>
      <c r="N758" s="474">
        <f>N756</f>
        <v>355</v>
      </c>
      <c r="O758" s="475">
        <f>O756</f>
        <v>610</v>
      </c>
      <c r="P758" s="474">
        <f>P756</f>
        <v>100</v>
      </c>
      <c r="Q758" s="476">
        <f>ROUNDDOWN(N758*O758*((185-P758)/100),2)</f>
        <v>184067.5</v>
      </c>
      <c r="R758" s="467" t="str">
        <f>R756</f>
        <v>その他季昼間</v>
      </c>
      <c r="S758" s="468">
        <v>10919</v>
      </c>
      <c r="T758" s="477">
        <f>SUM(S758:S759)</f>
        <v>19912</v>
      </c>
      <c r="U758" s="488">
        <f>U756</f>
        <v>19.420000000000002</v>
      </c>
      <c r="V758" s="470">
        <f t="shared" si="455"/>
        <v>212046.98</v>
      </c>
      <c r="W758" s="479">
        <f>ROUNDDOWN(V758+Q758+V759,2)</f>
        <v>470306.73</v>
      </c>
      <c r="X758" s="2"/>
      <c r="Y758" s="426" t="s">
        <v>81</v>
      </c>
      <c r="Z758" s="415">
        <f>Z756</f>
        <v>355</v>
      </c>
      <c r="AA758" s="427">
        <f>AA756</f>
        <v>2008.8</v>
      </c>
      <c r="AB758" s="415">
        <f>AB756</f>
        <v>100</v>
      </c>
      <c r="AC758" s="417">
        <f>ROUNDDOWN(Z758*AA758*((185-AB758)/100),2)</f>
        <v>606155.4</v>
      </c>
      <c r="AD758" s="420" t="str">
        <f>AD756</f>
        <v>その他季昼間</v>
      </c>
      <c r="AE758" s="421">
        <v>10919</v>
      </c>
      <c r="AF758" s="428">
        <f>SUM(AE758:AE759)</f>
        <v>19912</v>
      </c>
      <c r="AG758" s="434">
        <f>AG756</f>
        <v>13.31</v>
      </c>
      <c r="AH758" s="228">
        <f t="shared" si="456"/>
        <v>145331.89000000001</v>
      </c>
      <c r="AI758" s="414">
        <f>ROUNDDOWN(AH758+AC758+AH759,2)</f>
        <v>831794.78</v>
      </c>
    </row>
    <row r="759" spans="1:35" ht="30" customHeight="1" x14ac:dyDescent="0.15">
      <c r="A759" s="411"/>
      <c r="B759" s="416"/>
      <c r="C759" s="430"/>
      <c r="D759" s="416"/>
      <c r="E759" s="414"/>
      <c r="F759" s="420" t="s">
        <v>158</v>
      </c>
      <c r="G759" s="421">
        <v>8993</v>
      </c>
      <c r="H759" s="425"/>
      <c r="I759" s="429">
        <f>I757</f>
        <v>8.93</v>
      </c>
      <c r="J759" s="228">
        <f>ROUNDDOWN(G759*I759,2)</f>
        <v>80307.490000000005</v>
      </c>
      <c r="K759" s="231"/>
      <c r="M759" s="459"/>
      <c r="N759" s="484"/>
      <c r="O759" s="483"/>
      <c r="P759" s="484"/>
      <c r="Q759" s="479"/>
      <c r="R759" s="467" t="s">
        <v>158</v>
      </c>
      <c r="S759" s="468">
        <v>8993</v>
      </c>
      <c r="T759" s="472"/>
      <c r="U759" s="478">
        <f>U757</f>
        <v>8.25</v>
      </c>
      <c r="V759" s="470">
        <f>ROUNDDOWN(S759*U759,2)</f>
        <v>74192.25</v>
      </c>
      <c r="W759" s="482"/>
      <c r="X759" s="2"/>
      <c r="Y759" s="411"/>
      <c r="Z759" s="416"/>
      <c r="AA759" s="430"/>
      <c r="AB759" s="416"/>
      <c r="AC759" s="414"/>
      <c r="AD759" s="420" t="s">
        <v>158</v>
      </c>
      <c r="AE759" s="421">
        <v>8993</v>
      </c>
      <c r="AF759" s="425"/>
      <c r="AG759" s="429">
        <f>AG757</f>
        <v>8.93</v>
      </c>
      <c r="AH759" s="228">
        <f>ROUNDDOWN(AE759*AG759,2)</f>
        <v>80307.490000000005</v>
      </c>
      <c r="AI759" s="231"/>
    </row>
    <row r="760" spans="1:35" ht="30" customHeight="1" x14ac:dyDescent="0.15">
      <c r="A760" s="435" t="s">
        <v>82</v>
      </c>
      <c r="B760" s="415">
        <f>B758</f>
        <v>355</v>
      </c>
      <c r="C760" s="436">
        <f>C758</f>
        <v>1296</v>
      </c>
      <c r="D760" s="415">
        <f>D758</f>
        <v>100</v>
      </c>
      <c r="E760" s="417">
        <f>ROUNDDOWN(B760*C760*((185-D760)/100),2)</f>
        <v>391068</v>
      </c>
      <c r="F760" s="437" t="str">
        <f>F758</f>
        <v>その他季昼間</v>
      </c>
      <c r="G760" s="438">
        <v>11872</v>
      </c>
      <c r="H760" s="428">
        <f>SUM(G760:G761)</f>
        <v>21084</v>
      </c>
      <c r="I760" s="434">
        <f>I758</f>
        <v>20.97</v>
      </c>
      <c r="J760" s="432">
        <f>ROUNDDOWN(G760*I760,2)</f>
        <v>248955.84</v>
      </c>
      <c r="K760" s="414">
        <f>ROUNDDOWN(J760+E760+J761,2)</f>
        <v>722287</v>
      </c>
      <c r="M760" s="489" t="s">
        <v>82</v>
      </c>
      <c r="N760" s="474">
        <f>N758</f>
        <v>355</v>
      </c>
      <c r="O760" s="490">
        <f>O758</f>
        <v>610</v>
      </c>
      <c r="P760" s="474">
        <f>P758</f>
        <v>100</v>
      </c>
      <c r="Q760" s="476">
        <f>ROUNDDOWN(N760*O760*((185-P760)/100),2)</f>
        <v>184067.5</v>
      </c>
      <c r="R760" s="491" t="str">
        <f>R758</f>
        <v>その他季昼間</v>
      </c>
      <c r="S760" s="492">
        <v>11872</v>
      </c>
      <c r="T760" s="477">
        <f>SUM(S760:S761)</f>
        <v>21084</v>
      </c>
      <c r="U760" s="488">
        <f>U758</f>
        <v>19.420000000000002</v>
      </c>
      <c r="V760" s="486">
        <f>ROUNDDOWN(S760*U760,2)</f>
        <v>230554.23999999999</v>
      </c>
      <c r="W760" s="479">
        <f>ROUNDDOWN(V760+Q760+V761,2)</f>
        <v>490620.74</v>
      </c>
      <c r="X760" s="2"/>
      <c r="Y760" s="435" t="s">
        <v>82</v>
      </c>
      <c r="Z760" s="415">
        <f>Z758</f>
        <v>355</v>
      </c>
      <c r="AA760" s="436">
        <f>AA758</f>
        <v>2008.8</v>
      </c>
      <c r="AB760" s="415">
        <f>AB758</f>
        <v>100</v>
      </c>
      <c r="AC760" s="417">
        <f>ROUNDDOWN(Z760*AA760*((185-AB760)/100),2)</f>
        <v>606155.4</v>
      </c>
      <c r="AD760" s="437" t="str">
        <f>AD758</f>
        <v>その他季昼間</v>
      </c>
      <c r="AE760" s="438">
        <v>11872</v>
      </c>
      <c r="AF760" s="428">
        <f>SUM(AE760:AE761)</f>
        <v>21084</v>
      </c>
      <c r="AG760" s="434">
        <f>AG758</f>
        <v>13.31</v>
      </c>
      <c r="AH760" s="432">
        <f>ROUNDDOWN(AE760*AG760,2)</f>
        <v>158016.32000000001</v>
      </c>
      <c r="AI760" s="414">
        <f>ROUNDDOWN(AH760+AC760+AH761,2)</f>
        <v>846434.88</v>
      </c>
    </row>
    <row r="761" spans="1:35" ht="30" customHeight="1" thickBot="1" x14ac:dyDescent="0.2">
      <c r="A761" s="439"/>
      <c r="B761" s="418"/>
      <c r="C761" s="440"/>
      <c r="D761" s="418"/>
      <c r="E761" s="246"/>
      <c r="F761" s="441" t="s">
        <v>158</v>
      </c>
      <c r="G761" s="442">
        <v>9212</v>
      </c>
      <c r="H761" s="443"/>
      <c r="I761" s="444">
        <f>I759</f>
        <v>8.93</v>
      </c>
      <c r="J761" s="246">
        <f t="shared" si="441"/>
        <v>82263.16</v>
      </c>
      <c r="K761" s="249"/>
      <c r="M761" s="493"/>
      <c r="N761" s="494"/>
      <c r="O761" s="495"/>
      <c r="P761" s="494"/>
      <c r="Q761" s="496"/>
      <c r="R761" s="497" t="s">
        <v>158</v>
      </c>
      <c r="S761" s="498">
        <v>9212</v>
      </c>
      <c r="T761" s="499"/>
      <c r="U761" s="500">
        <f>U759</f>
        <v>8.25</v>
      </c>
      <c r="V761" s="496">
        <f>ROUNDDOWN(S761*U761,2)</f>
        <v>75999</v>
      </c>
      <c r="W761" s="501"/>
      <c r="X761" s="2"/>
      <c r="Y761" s="439"/>
      <c r="Z761" s="418"/>
      <c r="AA761" s="440"/>
      <c r="AB761" s="418"/>
      <c r="AC761" s="246"/>
      <c r="AD761" s="441" t="s">
        <v>158</v>
      </c>
      <c r="AE761" s="442">
        <v>9212</v>
      </c>
      <c r="AF761" s="443"/>
      <c r="AG761" s="444">
        <f>AG759</f>
        <v>8.93</v>
      </c>
      <c r="AH761" s="246">
        <f>ROUNDDOWN(AE761*AG761,2)</f>
        <v>82263.16</v>
      </c>
      <c r="AI761" s="249"/>
    </row>
    <row r="762" spans="1:35" ht="30" customHeight="1" thickBot="1" x14ac:dyDescent="0.2">
      <c r="A762" s="445" t="s">
        <v>41</v>
      </c>
      <c r="B762" s="446" t="s">
        <v>162</v>
      </c>
      <c r="C762" s="447">
        <f>G762/B758/8760</f>
        <v>8.5928998649430835E-2</v>
      </c>
      <c r="D762" s="448"/>
      <c r="E762" s="449">
        <f>SUM(E735:E760)</f>
        <v>4692816</v>
      </c>
      <c r="F762" s="450"/>
      <c r="G762" s="451">
        <f>SUM(G735:G761)</f>
        <v>267222</v>
      </c>
      <c r="H762" s="451">
        <f>SUM(H735:H761)</f>
        <v>267222</v>
      </c>
      <c r="I762" s="448"/>
      <c r="J762" s="449">
        <f>SUM(J735:J760)</f>
        <v>4323025.2000000011</v>
      </c>
      <c r="K762" s="452">
        <f>SUM(K735:K761)</f>
        <v>9098104.3599999994</v>
      </c>
      <c r="M762" s="502" t="s">
        <v>41</v>
      </c>
      <c r="N762" s="503" t="s">
        <v>162</v>
      </c>
      <c r="O762" s="504">
        <f>S762/N758/8760</f>
        <v>8.5928998649430835E-2</v>
      </c>
      <c r="P762" s="505"/>
      <c r="Q762" s="506">
        <f>SUM(Q735:Q760)</f>
        <v>2208810</v>
      </c>
      <c r="R762" s="507"/>
      <c r="S762" s="508">
        <f>SUM(S735:S761)</f>
        <v>267222</v>
      </c>
      <c r="T762" s="508">
        <f>SUM(T735:T761)</f>
        <v>267222</v>
      </c>
      <c r="U762" s="505"/>
      <c r="V762" s="506">
        <f>SUM(V735:V760)</f>
        <v>4001169.3800000008</v>
      </c>
      <c r="W762" s="509">
        <f>SUM(W735:W761)</f>
        <v>6285978.3800000008</v>
      </c>
      <c r="X762" s="2"/>
      <c r="Y762" s="445" t="s">
        <v>41</v>
      </c>
      <c r="Z762" s="446" t="s">
        <v>162</v>
      </c>
      <c r="AA762" s="447">
        <f>AE762/Z758/8760</f>
        <v>8.5928998649430835E-2</v>
      </c>
      <c r="AB762" s="448"/>
      <c r="AC762" s="449">
        <f>SUM(AC735:AC760)</f>
        <v>7273864.8000000017</v>
      </c>
      <c r="AD762" s="450"/>
      <c r="AE762" s="451">
        <f>SUM(AE735:AE761)</f>
        <v>267222</v>
      </c>
      <c r="AF762" s="451">
        <f>SUM(AF735:AF761)</f>
        <v>267222</v>
      </c>
      <c r="AG762" s="448"/>
      <c r="AH762" s="449">
        <f>SUM(AH735:AH760)</f>
        <v>3075273.1199999996</v>
      </c>
      <c r="AI762" s="452">
        <f>SUM(AI735:AI761)</f>
        <v>10431401.08</v>
      </c>
    </row>
    <row r="763" spans="1:35" ht="15" customHeight="1" x14ac:dyDescent="0.15">
      <c r="A763" s="214"/>
      <c r="B763" s="250"/>
      <c r="C763" s="250"/>
      <c r="D763" s="250"/>
      <c r="E763" s="250"/>
      <c r="F763" s="250"/>
      <c r="G763" s="250"/>
      <c r="H763" s="250"/>
      <c r="I763" s="250"/>
      <c r="J763" s="250"/>
      <c r="K763" s="250"/>
      <c r="M763" s="456"/>
      <c r="N763" s="193"/>
      <c r="O763" s="193"/>
      <c r="P763" s="193"/>
      <c r="Q763" s="193"/>
      <c r="R763" s="193"/>
      <c r="S763" s="193"/>
      <c r="T763" s="193"/>
      <c r="U763" s="193"/>
      <c r="V763" s="193"/>
      <c r="W763" s="510">
        <f>W762/K762</f>
        <v>0.69091078001220041</v>
      </c>
      <c r="X763" s="2"/>
      <c r="Y763" s="2"/>
      <c r="Z763" s="2"/>
      <c r="AA763" s="2"/>
      <c r="AB763" s="2"/>
      <c r="AC763" s="2"/>
      <c r="AD763" s="2"/>
      <c r="AE763" s="2"/>
      <c r="AF763" s="2"/>
      <c r="AG763" s="2"/>
      <c r="AH763" s="2"/>
      <c r="AI763" s="2"/>
    </row>
    <row r="767" spans="1:35" x14ac:dyDescent="0.15">
      <c r="K767" s="670">
        <f>SUM(K13:K18,K22:K24,K38:K43,K47:K49,K63:K68,W88:W93,W97:W99,W113:W142,W158:W172,K186:K191,K195:K197,K211:K216,K220:K222,W236:W241,W245:W247,K261:K266,K270:K272,W286:W291,W295:W297,K311:K316,K320:K322,K336:K341,K345:K347,K361:K366,K370:K372,W386:W391,W395:W397,W411:W416,W420:W422,K72:K74)</f>
        <v>51335931.230000004</v>
      </c>
    </row>
    <row r="768" spans="1:35" x14ac:dyDescent="0.15">
      <c r="K768" s="671"/>
      <c r="M768" s="672">
        <f>SUM(K19:K21,K44:K46,K69:K71,W94:W96,W143:W157,K192:K194,K217:K219,W242:W244,K267:K269,W292:W294,K317:K319,K342:K344,K367:K369,W392:W394,W417:W419,K448:K453,K485:K490,K516:K518,K541:K543,K566:K568,K591:K593,K616:K618,W641:W643,K666:K668,K691:K693,K716:K718,K747:K755)</f>
        <v>33992836.000000007</v>
      </c>
    </row>
    <row r="769" spans="11:13" x14ac:dyDescent="0.15">
      <c r="K769" s="671"/>
      <c r="M769" s="673"/>
    </row>
    <row r="770" spans="11:13" x14ac:dyDescent="0.15">
      <c r="K770" s="671"/>
      <c r="M770" s="673"/>
    </row>
    <row r="771" spans="11:13" x14ac:dyDescent="0.15">
      <c r="K771" s="670">
        <f>SUM(K436:K447,K454:K459,K473:K484,K491:K496,K510:K515,K519:K521,K535:K540,K544:K546,K560:K565,K569:K571,K585:K590,K594:K596,K610:K615,K619:K621,W635:W640,W644:W646,K660:K665,K669:K671,K685:K690,K694:K696,K710:K715,K719:K721,K735:K746,K756:K761)</f>
        <v>34211331.100000009</v>
      </c>
    </row>
    <row r="772" spans="11:13" x14ac:dyDescent="0.15">
      <c r="K772" s="671"/>
    </row>
    <row r="773" spans="11:13" x14ac:dyDescent="0.15">
      <c r="K773" s="671"/>
    </row>
    <row r="774" spans="11:13" x14ac:dyDescent="0.15">
      <c r="K774" s="671"/>
    </row>
  </sheetData>
  <mergeCells count="1826">
    <mergeCell ref="F708:G708"/>
    <mergeCell ref="A705:A709"/>
    <mergeCell ref="B705:E705"/>
    <mergeCell ref="F705:J705"/>
    <mergeCell ref="A703:K703"/>
    <mergeCell ref="K705:K707"/>
    <mergeCell ref="B706:B707"/>
    <mergeCell ref="C706:C707"/>
    <mergeCell ref="D706:D707"/>
    <mergeCell ref="E706:E707"/>
    <mergeCell ref="F706:G707"/>
    <mergeCell ref="I706:I707"/>
    <mergeCell ref="J706:J707"/>
    <mergeCell ref="D681:D682"/>
    <mergeCell ref="E681:E682"/>
    <mergeCell ref="F681:G682"/>
    <mergeCell ref="I681:I682"/>
    <mergeCell ref="J681:J682"/>
    <mergeCell ref="A702:K702"/>
    <mergeCell ref="F683:G683"/>
    <mergeCell ref="K699:K701"/>
    <mergeCell ref="F658:G658"/>
    <mergeCell ref="A677:K677"/>
    <mergeCell ref="K674:K676"/>
    <mergeCell ref="A678:K678"/>
    <mergeCell ref="A680:A684"/>
    <mergeCell ref="B680:E680"/>
    <mergeCell ref="F680:J680"/>
    <mergeCell ref="K680:K682"/>
    <mergeCell ref="B681:B682"/>
    <mergeCell ref="C681:C682"/>
    <mergeCell ref="C656:C657"/>
    <mergeCell ref="D656:D657"/>
    <mergeCell ref="E656:E657"/>
    <mergeCell ref="F656:G657"/>
    <mergeCell ref="I656:I657"/>
    <mergeCell ref="J656:J657"/>
    <mergeCell ref="I631:I632"/>
    <mergeCell ref="J631:J632"/>
    <mergeCell ref="F633:G633"/>
    <mergeCell ref="A652:K652"/>
    <mergeCell ref="A653:K653"/>
    <mergeCell ref="A655:A659"/>
    <mergeCell ref="B655:E655"/>
    <mergeCell ref="F655:J655"/>
    <mergeCell ref="K655:K657"/>
    <mergeCell ref="B656:B657"/>
    <mergeCell ref="A628:K628"/>
    <mergeCell ref="A630:A634"/>
    <mergeCell ref="B630:E630"/>
    <mergeCell ref="F630:J630"/>
    <mergeCell ref="K630:K632"/>
    <mergeCell ref="B631:B632"/>
    <mergeCell ref="C631:C632"/>
    <mergeCell ref="D631:D632"/>
    <mergeCell ref="E631:E632"/>
    <mergeCell ref="F631:G632"/>
    <mergeCell ref="A627:K627"/>
    <mergeCell ref="J606:J607"/>
    <mergeCell ref="F608:G608"/>
    <mergeCell ref="A605:A609"/>
    <mergeCell ref="B605:E605"/>
    <mergeCell ref="F605:J605"/>
    <mergeCell ref="K605:K607"/>
    <mergeCell ref="B606:B607"/>
    <mergeCell ref="C606:C607"/>
    <mergeCell ref="K624:K626"/>
    <mergeCell ref="A530:A534"/>
    <mergeCell ref="B530:E530"/>
    <mergeCell ref="F530:J530"/>
    <mergeCell ref="K530:K532"/>
    <mergeCell ref="B531:B532"/>
    <mergeCell ref="C531:C532"/>
    <mergeCell ref="D531:D532"/>
    <mergeCell ref="E531:E532"/>
    <mergeCell ref="F531:G532"/>
    <mergeCell ref="I531:I532"/>
    <mergeCell ref="A603:K603"/>
    <mergeCell ref="F583:G583"/>
    <mergeCell ref="D606:D607"/>
    <mergeCell ref="E606:E607"/>
    <mergeCell ref="F606:G607"/>
    <mergeCell ref="I606:I607"/>
    <mergeCell ref="K599:K601"/>
    <mergeCell ref="F558:G558"/>
    <mergeCell ref="F581:G582"/>
    <mergeCell ref="I581:I582"/>
    <mergeCell ref="J581:J582"/>
    <mergeCell ref="A602:K602"/>
    <mergeCell ref="B581:B582"/>
    <mergeCell ref="C581:C582"/>
    <mergeCell ref="D581:D582"/>
    <mergeCell ref="E581:E582"/>
    <mergeCell ref="K574:K576"/>
    <mergeCell ref="A528:K528"/>
    <mergeCell ref="E506:E507"/>
    <mergeCell ref="F506:G507"/>
    <mergeCell ref="I506:I507"/>
    <mergeCell ref="A502:K502"/>
    <mergeCell ref="A503:K503"/>
    <mergeCell ref="A527:K527"/>
    <mergeCell ref="J506:J507"/>
    <mergeCell ref="F508:G508"/>
    <mergeCell ref="A505:A509"/>
    <mergeCell ref="B505:E505"/>
    <mergeCell ref="F505:J505"/>
    <mergeCell ref="K505:K507"/>
    <mergeCell ref="B506:B507"/>
    <mergeCell ref="E495:E496"/>
    <mergeCell ref="K495:K496"/>
    <mergeCell ref="C556:C557"/>
    <mergeCell ref="D556:D557"/>
    <mergeCell ref="E556:E557"/>
    <mergeCell ref="F556:G557"/>
    <mergeCell ref="I556:I557"/>
    <mergeCell ref="J556:J557"/>
    <mergeCell ref="J531:J532"/>
    <mergeCell ref="F533:G533"/>
    <mergeCell ref="K549:K551"/>
    <mergeCell ref="A552:K552"/>
    <mergeCell ref="A553:K553"/>
    <mergeCell ref="A555:A559"/>
    <mergeCell ref="B555:E555"/>
    <mergeCell ref="F555:J555"/>
    <mergeCell ref="K555:K557"/>
    <mergeCell ref="B556:B557"/>
    <mergeCell ref="A495:A496"/>
    <mergeCell ref="B495:B496"/>
    <mergeCell ref="C495:C496"/>
    <mergeCell ref="D495:D496"/>
    <mergeCell ref="C493:C494"/>
    <mergeCell ref="D493:D494"/>
    <mergeCell ref="A489:A490"/>
    <mergeCell ref="B489:B490"/>
    <mergeCell ref="A491:A492"/>
    <mergeCell ref="B491:B492"/>
    <mergeCell ref="C489:C490"/>
    <mergeCell ref="D489:D490"/>
    <mergeCell ref="C491:C492"/>
    <mergeCell ref="D491:D492"/>
    <mergeCell ref="E493:E494"/>
    <mergeCell ref="C506:C507"/>
    <mergeCell ref="D506:D507"/>
    <mergeCell ref="K493:K494"/>
    <mergeCell ref="E489:E490"/>
    <mergeCell ref="K489:K490"/>
    <mergeCell ref="E491:E492"/>
    <mergeCell ref="K491:K492"/>
    <mergeCell ref="A487:A488"/>
    <mergeCell ref="B487:B488"/>
    <mergeCell ref="C487:C488"/>
    <mergeCell ref="D487:D488"/>
    <mergeCell ref="E485:E486"/>
    <mergeCell ref="K485:K486"/>
    <mergeCell ref="E487:E488"/>
    <mergeCell ref="K487:K488"/>
    <mergeCell ref="D483:D484"/>
    <mergeCell ref="C481:C482"/>
    <mergeCell ref="D481:D482"/>
    <mergeCell ref="A485:A486"/>
    <mergeCell ref="B485:B486"/>
    <mergeCell ref="C485:C486"/>
    <mergeCell ref="D485:D486"/>
    <mergeCell ref="A493:A494"/>
    <mergeCell ref="B493:B494"/>
    <mergeCell ref="K477:K478"/>
    <mergeCell ref="E479:E480"/>
    <mergeCell ref="K479:K480"/>
    <mergeCell ref="E483:E484"/>
    <mergeCell ref="K483:K484"/>
    <mergeCell ref="A481:A482"/>
    <mergeCell ref="B481:B482"/>
    <mergeCell ref="A483:A484"/>
    <mergeCell ref="B483:B484"/>
    <mergeCell ref="C483:C484"/>
    <mergeCell ref="E481:E482"/>
    <mergeCell ref="F471:G471"/>
    <mergeCell ref="D473:D474"/>
    <mergeCell ref="E473:E474"/>
    <mergeCell ref="A468:A472"/>
    <mergeCell ref="K481:K482"/>
    <mergeCell ref="A479:A480"/>
    <mergeCell ref="B479:B480"/>
    <mergeCell ref="C479:C480"/>
    <mergeCell ref="D479:D480"/>
    <mergeCell ref="A473:A474"/>
    <mergeCell ref="B473:B474"/>
    <mergeCell ref="C473:C474"/>
    <mergeCell ref="J469:J470"/>
    <mergeCell ref="A477:A478"/>
    <mergeCell ref="B477:B478"/>
    <mergeCell ref="C477:C478"/>
    <mergeCell ref="D477:D478"/>
    <mergeCell ref="E477:E478"/>
    <mergeCell ref="K473:K474"/>
    <mergeCell ref="A475:A476"/>
    <mergeCell ref="B475:B476"/>
    <mergeCell ref="C475:C476"/>
    <mergeCell ref="D475:D476"/>
    <mergeCell ref="E475:E476"/>
    <mergeCell ref="K475:K476"/>
    <mergeCell ref="K458:K459"/>
    <mergeCell ref="K468:K470"/>
    <mergeCell ref="B469:B470"/>
    <mergeCell ref="C469:C470"/>
    <mergeCell ref="D469:D470"/>
    <mergeCell ref="E469:E470"/>
    <mergeCell ref="F469:G470"/>
    <mergeCell ref="B468:E468"/>
    <mergeCell ref="F468:J468"/>
    <mergeCell ref="I469:I470"/>
    <mergeCell ref="A456:A457"/>
    <mergeCell ref="B456:B457"/>
    <mergeCell ref="C456:C457"/>
    <mergeCell ref="D456:D457"/>
    <mergeCell ref="A465:K465"/>
    <mergeCell ref="A466:K466"/>
    <mergeCell ref="E456:E457"/>
    <mergeCell ref="K456:K457"/>
    <mergeCell ref="A458:A459"/>
    <mergeCell ref="B458:B459"/>
    <mergeCell ref="A452:A453"/>
    <mergeCell ref="B452:B453"/>
    <mergeCell ref="A454:A455"/>
    <mergeCell ref="B454:B455"/>
    <mergeCell ref="C454:C455"/>
    <mergeCell ref="D454:D455"/>
    <mergeCell ref="C452:C453"/>
    <mergeCell ref="D452:D453"/>
    <mergeCell ref="C458:C459"/>
    <mergeCell ref="D458:D459"/>
    <mergeCell ref="E458:E459"/>
    <mergeCell ref="E448:E449"/>
    <mergeCell ref="K448:K449"/>
    <mergeCell ref="E450:E451"/>
    <mergeCell ref="K450:K451"/>
    <mergeCell ref="E454:E455"/>
    <mergeCell ref="K454:K455"/>
    <mergeCell ref="A448:A449"/>
    <mergeCell ref="B448:B449"/>
    <mergeCell ref="C448:C449"/>
    <mergeCell ref="D448:D449"/>
    <mergeCell ref="E452:E453"/>
    <mergeCell ref="K452:K453"/>
    <mergeCell ref="A450:A451"/>
    <mergeCell ref="B450:B451"/>
    <mergeCell ref="C450:C451"/>
    <mergeCell ref="D450:D451"/>
    <mergeCell ref="E446:E447"/>
    <mergeCell ref="K446:K447"/>
    <mergeCell ref="A444:A445"/>
    <mergeCell ref="B444:B445"/>
    <mergeCell ref="A446:A447"/>
    <mergeCell ref="B446:B447"/>
    <mergeCell ref="C446:C447"/>
    <mergeCell ref="D446:D447"/>
    <mergeCell ref="C444:C445"/>
    <mergeCell ref="D444:D445"/>
    <mergeCell ref="E444:E445"/>
    <mergeCell ref="K444:K445"/>
    <mergeCell ref="A442:A443"/>
    <mergeCell ref="B442:B443"/>
    <mergeCell ref="C442:C443"/>
    <mergeCell ref="D442:D443"/>
    <mergeCell ref="E442:E443"/>
    <mergeCell ref="K442:K443"/>
    <mergeCell ref="K438:K439"/>
    <mergeCell ref="A436:A437"/>
    <mergeCell ref="B436:B437"/>
    <mergeCell ref="A440:A441"/>
    <mergeCell ref="B440:B441"/>
    <mergeCell ref="C440:C441"/>
    <mergeCell ref="D440:D441"/>
    <mergeCell ref="E440:E441"/>
    <mergeCell ref="K440:K441"/>
    <mergeCell ref="C436:C437"/>
    <mergeCell ref="F432:G433"/>
    <mergeCell ref="I432:I433"/>
    <mergeCell ref="E432:E433"/>
    <mergeCell ref="E436:E437"/>
    <mergeCell ref="K436:K437"/>
    <mergeCell ref="A438:A439"/>
    <mergeCell ref="B438:B439"/>
    <mergeCell ref="C438:C439"/>
    <mergeCell ref="D438:D439"/>
    <mergeCell ref="E438:E439"/>
    <mergeCell ref="D436:D437"/>
    <mergeCell ref="K406:K408"/>
    <mergeCell ref="B407:B408"/>
    <mergeCell ref="C407:C408"/>
    <mergeCell ref="J432:J433"/>
    <mergeCell ref="A429:K429"/>
    <mergeCell ref="A431:A435"/>
    <mergeCell ref="B431:E431"/>
    <mergeCell ref="F431:J431"/>
    <mergeCell ref="K431:K433"/>
    <mergeCell ref="B432:B433"/>
    <mergeCell ref="J407:J408"/>
    <mergeCell ref="F409:G409"/>
    <mergeCell ref="A406:A410"/>
    <mergeCell ref="B406:E406"/>
    <mergeCell ref="F406:J406"/>
    <mergeCell ref="D407:D408"/>
    <mergeCell ref="E407:E408"/>
    <mergeCell ref="F407:G408"/>
    <mergeCell ref="I407:I408"/>
    <mergeCell ref="A403:K403"/>
    <mergeCell ref="A404:K404"/>
    <mergeCell ref="N9:N10"/>
    <mergeCell ref="M31:W31"/>
    <mergeCell ref="M32:N32"/>
    <mergeCell ref="M33:M37"/>
    <mergeCell ref="N33:Q33"/>
    <mergeCell ref="R33:V33"/>
    <mergeCell ref="W33:W35"/>
    <mergeCell ref="E382:E383"/>
    <mergeCell ref="C382:C383"/>
    <mergeCell ref="D382:D383"/>
    <mergeCell ref="F382:G383"/>
    <mergeCell ref="I382:I383"/>
    <mergeCell ref="J382:J383"/>
    <mergeCell ref="A379:K379"/>
    <mergeCell ref="K381:K383"/>
    <mergeCell ref="F357:G358"/>
    <mergeCell ref="I357:I358"/>
    <mergeCell ref="J357:J358"/>
    <mergeCell ref="A378:K378"/>
    <mergeCell ref="F359:G359"/>
    <mergeCell ref="A381:A385"/>
    <mergeCell ref="B381:E381"/>
    <mergeCell ref="F381:J381"/>
    <mergeCell ref="F384:G384"/>
    <mergeCell ref="B382:B383"/>
    <mergeCell ref="A353:K353"/>
    <mergeCell ref="A354:K354"/>
    <mergeCell ref="A356:A360"/>
    <mergeCell ref="B356:E356"/>
    <mergeCell ref="F356:J356"/>
    <mergeCell ref="A304:K304"/>
    <mergeCell ref="F284:G284"/>
    <mergeCell ref="A303:K303"/>
    <mergeCell ref="K300:K302"/>
    <mergeCell ref="J307:J308"/>
    <mergeCell ref="A306:A310"/>
    <mergeCell ref="B306:E306"/>
    <mergeCell ref="F306:J306"/>
    <mergeCell ref="D307:D308"/>
    <mergeCell ref="E307:E308"/>
    <mergeCell ref="A278:K278"/>
    <mergeCell ref="K275:K277"/>
    <mergeCell ref="F282:G283"/>
    <mergeCell ref="I282:I283"/>
    <mergeCell ref="A281:A285"/>
    <mergeCell ref="B281:E281"/>
    <mergeCell ref="F281:J281"/>
    <mergeCell ref="K281:K283"/>
    <mergeCell ref="B282:B283"/>
    <mergeCell ref="C282:C283"/>
    <mergeCell ref="F307:G308"/>
    <mergeCell ref="I307:I308"/>
    <mergeCell ref="F309:G309"/>
    <mergeCell ref="K306:K308"/>
    <mergeCell ref="B307:B308"/>
    <mergeCell ref="C307:C308"/>
    <mergeCell ref="D232:D233"/>
    <mergeCell ref="E232:E233"/>
    <mergeCell ref="J257:J258"/>
    <mergeCell ref="F259:G259"/>
    <mergeCell ref="A256:A260"/>
    <mergeCell ref="B256:E256"/>
    <mergeCell ref="F256:J256"/>
    <mergeCell ref="B257:B258"/>
    <mergeCell ref="C257:C258"/>
    <mergeCell ref="D257:D258"/>
    <mergeCell ref="I207:I208"/>
    <mergeCell ref="J207:J208"/>
    <mergeCell ref="K225:K227"/>
    <mergeCell ref="J232:J233"/>
    <mergeCell ref="E257:E258"/>
    <mergeCell ref="F257:G258"/>
    <mergeCell ref="I257:I258"/>
    <mergeCell ref="A253:K253"/>
    <mergeCell ref="A254:K254"/>
    <mergeCell ref="K256:K258"/>
    <mergeCell ref="A206:A210"/>
    <mergeCell ref="B206:E206"/>
    <mergeCell ref="F206:J206"/>
    <mergeCell ref="F209:G209"/>
    <mergeCell ref="K206:K208"/>
    <mergeCell ref="B207:B208"/>
    <mergeCell ref="C207:C208"/>
    <mergeCell ref="D207:D208"/>
    <mergeCell ref="E207:E208"/>
    <mergeCell ref="F207:G208"/>
    <mergeCell ref="I182:I183"/>
    <mergeCell ref="J182:J183"/>
    <mergeCell ref="F184:G184"/>
    <mergeCell ref="A203:K203"/>
    <mergeCell ref="A204:K204"/>
    <mergeCell ref="K200:K202"/>
    <mergeCell ref="A179:K179"/>
    <mergeCell ref="A181:A185"/>
    <mergeCell ref="B181:E181"/>
    <mergeCell ref="F181:J181"/>
    <mergeCell ref="K181:K183"/>
    <mergeCell ref="B182:B183"/>
    <mergeCell ref="C182:C183"/>
    <mergeCell ref="D182:D183"/>
    <mergeCell ref="E182:E183"/>
    <mergeCell ref="F182:G183"/>
    <mergeCell ref="D163:D167"/>
    <mergeCell ref="C158:C162"/>
    <mergeCell ref="D158:D162"/>
    <mergeCell ref="A178:K178"/>
    <mergeCell ref="E168:E172"/>
    <mergeCell ref="K168:K172"/>
    <mergeCell ref="A168:A172"/>
    <mergeCell ref="B168:B172"/>
    <mergeCell ref="C168:C172"/>
    <mergeCell ref="D168:D172"/>
    <mergeCell ref="K148:K152"/>
    <mergeCell ref="E153:E157"/>
    <mergeCell ref="K153:K157"/>
    <mergeCell ref="E163:E167"/>
    <mergeCell ref="K163:K167"/>
    <mergeCell ref="A158:A162"/>
    <mergeCell ref="B158:B162"/>
    <mergeCell ref="A163:A167"/>
    <mergeCell ref="B163:B167"/>
    <mergeCell ref="C163:C167"/>
    <mergeCell ref="E158:E162"/>
    <mergeCell ref="K158:K162"/>
    <mergeCell ref="A153:A157"/>
    <mergeCell ref="B153:B157"/>
    <mergeCell ref="C153:C157"/>
    <mergeCell ref="D153:D157"/>
    <mergeCell ref="K175:K177"/>
    <mergeCell ref="B143:B147"/>
    <mergeCell ref="C143:C147"/>
    <mergeCell ref="D143:D147"/>
    <mergeCell ref="E143:E147"/>
    <mergeCell ref="A148:A152"/>
    <mergeCell ref="B148:B152"/>
    <mergeCell ref="C148:C152"/>
    <mergeCell ref="D148:D152"/>
    <mergeCell ref="E148:E152"/>
    <mergeCell ref="A133:A137"/>
    <mergeCell ref="B133:B137"/>
    <mergeCell ref="A138:A142"/>
    <mergeCell ref="B138:B142"/>
    <mergeCell ref="C138:C142"/>
    <mergeCell ref="D138:D142"/>
    <mergeCell ref="C133:C137"/>
    <mergeCell ref="D133:D137"/>
    <mergeCell ref="A143:A147"/>
    <mergeCell ref="K128:K132"/>
    <mergeCell ref="E138:E142"/>
    <mergeCell ref="K138:K142"/>
    <mergeCell ref="A123:A127"/>
    <mergeCell ref="B123:B127"/>
    <mergeCell ref="C123:C127"/>
    <mergeCell ref="D123:D127"/>
    <mergeCell ref="E133:E137"/>
    <mergeCell ref="K133:K137"/>
    <mergeCell ref="A128:A132"/>
    <mergeCell ref="B128:B132"/>
    <mergeCell ref="C128:C132"/>
    <mergeCell ref="D128:D132"/>
    <mergeCell ref="K113:K117"/>
    <mergeCell ref="A118:A122"/>
    <mergeCell ref="B118:B122"/>
    <mergeCell ref="C118:C122"/>
    <mergeCell ref="D118:D122"/>
    <mergeCell ref="E118:E122"/>
    <mergeCell ref="K118:K122"/>
    <mergeCell ref="A113:A117"/>
    <mergeCell ref="B113:B117"/>
    <mergeCell ref="A55:K55"/>
    <mergeCell ref="A56:K56"/>
    <mergeCell ref="B109:B110"/>
    <mergeCell ref="C109:C110"/>
    <mergeCell ref="C113:C117"/>
    <mergeCell ref="D113:D117"/>
    <mergeCell ref="F109:G110"/>
    <mergeCell ref="I109:I110"/>
    <mergeCell ref="D109:D110"/>
    <mergeCell ref="E109:E110"/>
    <mergeCell ref="E113:E117"/>
    <mergeCell ref="J84:J85"/>
    <mergeCell ref="F86:G86"/>
    <mergeCell ref="J109:J110"/>
    <mergeCell ref="F111:G111"/>
    <mergeCell ref="A105:K105"/>
    <mergeCell ref="A106:K106"/>
    <mergeCell ref="A108:A112"/>
    <mergeCell ref="B108:E108"/>
    <mergeCell ref="F108:J108"/>
    <mergeCell ref="K108:K110"/>
    <mergeCell ref="A83:A87"/>
    <mergeCell ref="B83:E83"/>
    <mergeCell ref="F83:J83"/>
    <mergeCell ref="K83:K85"/>
    <mergeCell ref="B84:B85"/>
    <mergeCell ref="C84:C85"/>
    <mergeCell ref="D84:D85"/>
    <mergeCell ref="E84:E85"/>
    <mergeCell ref="F84:G85"/>
    <mergeCell ref="I84:I85"/>
    <mergeCell ref="B58:E58"/>
    <mergeCell ref="B34:B35"/>
    <mergeCell ref="C34:C35"/>
    <mergeCell ref="D34:D35"/>
    <mergeCell ref="E34:E35"/>
    <mergeCell ref="A1:K1"/>
    <mergeCell ref="K2:K4"/>
    <mergeCell ref="J34:J35"/>
    <mergeCell ref="A5:K5"/>
    <mergeCell ref="A6:K6"/>
    <mergeCell ref="A8:A12"/>
    <mergeCell ref="F8:J8"/>
    <mergeCell ref="I9:I10"/>
    <mergeCell ref="A31:K31"/>
    <mergeCell ref="A33:A37"/>
    <mergeCell ref="F34:G35"/>
    <mergeCell ref="I34:I35"/>
    <mergeCell ref="F9:G10"/>
    <mergeCell ref="F11:G11"/>
    <mergeCell ref="K27:K29"/>
    <mergeCell ref="F36:G36"/>
    <mergeCell ref="C9:C10"/>
    <mergeCell ref="D9:D10"/>
    <mergeCell ref="E9:E10"/>
    <mergeCell ref="K52:K54"/>
    <mergeCell ref="K77:K79"/>
    <mergeCell ref="K102:K104"/>
    <mergeCell ref="F33:J33"/>
    <mergeCell ref="K33:K35"/>
    <mergeCell ref="A30:K30"/>
    <mergeCell ref="B33:E33"/>
    <mergeCell ref="M1:W1"/>
    <mergeCell ref="W2:W4"/>
    <mergeCell ref="M5:W5"/>
    <mergeCell ref="M6:W6"/>
    <mergeCell ref="M7:N7"/>
    <mergeCell ref="M8:M12"/>
    <mergeCell ref="N8:Q8"/>
    <mergeCell ref="R8:V8"/>
    <mergeCell ref="M30:W30"/>
    <mergeCell ref="O9:O10"/>
    <mergeCell ref="P9:P10"/>
    <mergeCell ref="Q9:Q10"/>
    <mergeCell ref="R9:S10"/>
    <mergeCell ref="W8:W10"/>
    <mergeCell ref="U9:U10"/>
    <mergeCell ref="V9:V10"/>
    <mergeCell ref="B8:E8"/>
    <mergeCell ref="K8:K10"/>
    <mergeCell ref="B9:B10"/>
    <mergeCell ref="J9:J10"/>
    <mergeCell ref="I59:I60"/>
    <mergeCell ref="J59:J60"/>
    <mergeCell ref="R11:S11"/>
    <mergeCell ref="V34:V35"/>
    <mergeCell ref="R36:S36"/>
    <mergeCell ref="N34:N35"/>
    <mergeCell ref="O34:O35"/>
    <mergeCell ref="P34:P35"/>
    <mergeCell ref="Q34:Q35"/>
    <mergeCell ref="P59:P60"/>
    <mergeCell ref="Q59:Q60"/>
    <mergeCell ref="R34:S35"/>
    <mergeCell ref="U34:U35"/>
    <mergeCell ref="R59:S60"/>
    <mergeCell ref="U59:U60"/>
    <mergeCell ref="V59:V60"/>
    <mergeCell ref="R61:S61"/>
    <mergeCell ref="M55:W55"/>
    <mergeCell ref="M56:W56"/>
    <mergeCell ref="M58:M62"/>
    <mergeCell ref="N58:Q58"/>
    <mergeCell ref="R58:V58"/>
    <mergeCell ref="W58:W60"/>
    <mergeCell ref="N59:N60"/>
    <mergeCell ref="O59:O60"/>
    <mergeCell ref="V84:V85"/>
    <mergeCell ref="R86:S86"/>
    <mergeCell ref="M80:W80"/>
    <mergeCell ref="M81:W81"/>
    <mergeCell ref="M83:M87"/>
    <mergeCell ref="N83:Q83"/>
    <mergeCell ref="R83:V83"/>
    <mergeCell ref="W83:W85"/>
    <mergeCell ref="N84:N85"/>
    <mergeCell ref="O84:O85"/>
    <mergeCell ref="P109:P110"/>
    <mergeCell ref="Q109:Q110"/>
    <mergeCell ref="R84:S85"/>
    <mergeCell ref="U84:U85"/>
    <mergeCell ref="P84:P85"/>
    <mergeCell ref="Q84:Q85"/>
    <mergeCell ref="R109:S110"/>
    <mergeCell ref="U109:U110"/>
    <mergeCell ref="V109:V110"/>
    <mergeCell ref="R111:S111"/>
    <mergeCell ref="M105:W105"/>
    <mergeCell ref="M106:W106"/>
    <mergeCell ref="M108:M112"/>
    <mergeCell ref="N108:Q108"/>
    <mergeCell ref="R108:V108"/>
    <mergeCell ref="W108:W110"/>
    <mergeCell ref="N109:N110"/>
    <mergeCell ref="O109:O110"/>
    <mergeCell ref="M118:M122"/>
    <mergeCell ref="N118:N122"/>
    <mergeCell ref="O118:O122"/>
    <mergeCell ref="P118:P122"/>
    <mergeCell ref="M113:M117"/>
    <mergeCell ref="N113:N117"/>
    <mergeCell ref="O113:O117"/>
    <mergeCell ref="P113:P117"/>
    <mergeCell ref="Q113:Q117"/>
    <mergeCell ref="W113:W117"/>
    <mergeCell ref="Q118:Q122"/>
    <mergeCell ref="W118:W122"/>
    <mergeCell ref="Q123:Q127"/>
    <mergeCell ref="W123:W127"/>
    <mergeCell ref="Q128:Q132"/>
    <mergeCell ref="W128:W132"/>
    <mergeCell ref="M123:M127"/>
    <mergeCell ref="N123:N127"/>
    <mergeCell ref="M128:M132"/>
    <mergeCell ref="N128:N132"/>
    <mergeCell ref="O128:O132"/>
    <mergeCell ref="P128:P132"/>
    <mergeCell ref="O123:O127"/>
    <mergeCell ref="P123:P127"/>
    <mergeCell ref="M138:M142"/>
    <mergeCell ref="N138:N142"/>
    <mergeCell ref="O138:O142"/>
    <mergeCell ref="P138:P142"/>
    <mergeCell ref="M133:M137"/>
    <mergeCell ref="N133:N137"/>
    <mergeCell ref="O133:O137"/>
    <mergeCell ref="P133:P137"/>
    <mergeCell ref="Q133:Q137"/>
    <mergeCell ref="W133:W137"/>
    <mergeCell ref="Q138:Q142"/>
    <mergeCell ref="W138:W142"/>
    <mergeCell ref="M181:M185"/>
    <mergeCell ref="N181:Q181"/>
    <mergeCell ref="R181:V181"/>
    <mergeCell ref="W181:W183"/>
    <mergeCell ref="N182:N183"/>
    <mergeCell ref="O182:O183"/>
    <mergeCell ref="Q143:Q147"/>
    <mergeCell ref="W143:W147"/>
    <mergeCell ref="Q148:Q152"/>
    <mergeCell ref="W148:W152"/>
    <mergeCell ref="M143:M147"/>
    <mergeCell ref="N143:N147"/>
    <mergeCell ref="M148:M152"/>
    <mergeCell ref="N148:N152"/>
    <mergeCell ref="O148:O152"/>
    <mergeCell ref="P148:P152"/>
    <mergeCell ref="O143:O147"/>
    <mergeCell ref="P143:P147"/>
    <mergeCell ref="M158:M162"/>
    <mergeCell ref="N158:N162"/>
    <mergeCell ref="O158:O162"/>
    <mergeCell ref="P158:P162"/>
    <mergeCell ref="M153:M157"/>
    <mergeCell ref="N153:N157"/>
    <mergeCell ref="O153:O157"/>
    <mergeCell ref="P153:P157"/>
    <mergeCell ref="Q153:Q157"/>
    <mergeCell ref="W153:W157"/>
    <mergeCell ref="Q158:Q162"/>
    <mergeCell ref="W158:W162"/>
    <mergeCell ref="R182:S183"/>
    <mergeCell ref="U182:U183"/>
    <mergeCell ref="P182:P183"/>
    <mergeCell ref="Q182:Q183"/>
    <mergeCell ref="M229:W229"/>
    <mergeCell ref="M231:M235"/>
    <mergeCell ref="N231:Q231"/>
    <mergeCell ref="R231:V231"/>
    <mergeCell ref="M203:W203"/>
    <mergeCell ref="M204:W204"/>
    <mergeCell ref="M206:M210"/>
    <mergeCell ref="N206:Q206"/>
    <mergeCell ref="R206:V206"/>
    <mergeCell ref="W206:W208"/>
    <mergeCell ref="U232:U233"/>
    <mergeCell ref="P232:P233"/>
    <mergeCell ref="Q163:Q167"/>
    <mergeCell ref="W163:W167"/>
    <mergeCell ref="Q168:Q172"/>
    <mergeCell ref="W168:W172"/>
    <mergeCell ref="M163:M167"/>
    <mergeCell ref="N163:N167"/>
    <mergeCell ref="M168:M172"/>
    <mergeCell ref="N168:N172"/>
    <mergeCell ref="O168:O172"/>
    <mergeCell ref="P168:P172"/>
    <mergeCell ref="O163:O167"/>
    <mergeCell ref="P163:P167"/>
    <mergeCell ref="V182:V183"/>
    <mergeCell ref="R184:S184"/>
    <mergeCell ref="M178:W178"/>
    <mergeCell ref="M179:W179"/>
    <mergeCell ref="R234:S234"/>
    <mergeCell ref="R207:S208"/>
    <mergeCell ref="U207:U208"/>
    <mergeCell ref="V207:V208"/>
    <mergeCell ref="V232:V233"/>
    <mergeCell ref="R209:S209"/>
    <mergeCell ref="M228:W228"/>
    <mergeCell ref="N257:N258"/>
    <mergeCell ref="O257:O258"/>
    <mergeCell ref="R259:S259"/>
    <mergeCell ref="Q257:Q258"/>
    <mergeCell ref="W231:W233"/>
    <mergeCell ref="N232:N233"/>
    <mergeCell ref="O232:O233"/>
    <mergeCell ref="P257:P258"/>
    <mergeCell ref="Q232:Q233"/>
    <mergeCell ref="R232:S233"/>
    <mergeCell ref="R257:S258"/>
    <mergeCell ref="U257:U258"/>
    <mergeCell ref="N207:N208"/>
    <mergeCell ref="O207:O208"/>
    <mergeCell ref="P207:P208"/>
    <mergeCell ref="Q207:Q208"/>
    <mergeCell ref="M278:W278"/>
    <mergeCell ref="M279:W279"/>
    <mergeCell ref="M253:W253"/>
    <mergeCell ref="M254:W254"/>
    <mergeCell ref="M256:M260"/>
    <mergeCell ref="N256:Q256"/>
    <mergeCell ref="R256:V256"/>
    <mergeCell ref="W256:W258"/>
    <mergeCell ref="R281:V281"/>
    <mergeCell ref="W281:W283"/>
    <mergeCell ref="N282:N283"/>
    <mergeCell ref="O282:O283"/>
    <mergeCell ref="P282:P283"/>
    <mergeCell ref="Q282:Q283"/>
    <mergeCell ref="R282:S283"/>
    <mergeCell ref="U282:U283"/>
    <mergeCell ref="P307:P308"/>
    <mergeCell ref="Q307:Q308"/>
    <mergeCell ref="R307:S308"/>
    <mergeCell ref="U307:U308"/>
    <mergeCell ref="V282:V283"/>
    <mergeCell ref="R284:S284"/>
    <mergeCell ref="M303:W303"/>
    <mergeCell ref="M304:W304"/>
    <mergeCell ref="M281:M285"/>
    <mergeCell ref="N281:Q281"/>
    <mergeCell ref="V307:V308"/>
    <mergeCell ref="V257:V258"/>
    <mergeCell ref="R309:S309"/>
    <mergeCell ref="M328:W328"/>
    <mergeCell ref="M329:W329"/>
    <mergeCell ref="M306:M310"/>
    <mergeCell ref="N306:Q306"/>
    <mergeCell ref="R306:V306"/>
    <mergeCell ref="W306:W308"/>
    <mergeCell ref="N307:N308"/>
    <mergeCell ref="O307:O308"/>
    <mergeCell ref="R331:V331"/>
    <mergeCell ref="W331:W333"/>
    <mergeCell ref="N332:N333"/>
    <mergeCell ref="O332:O333"/>
    <mergeCell ref="P332:P333"/>
    <mergeCell ref="Q332:Q333"/>
    <mergeCell ref="R332:S333"/>
    <mergeCell ref="U332:U333"/>
    <mergeCell ref="P357:P358"/>
    <mergeCell ref="Q357:Q358"/>
    <mergeCell ref="R357:S358"/>
    <mergeCell ref="U357:U358"/>
    <mergeCell ref="V332:V333"/>
    <mergeCell ref="R334:S334"/>
    <mergeCell ref="M353:W353"/>
    <mergeCell ref="M354:W354"/>
    <mergeCell ref="M331:M335"/>
    <mergeCell ref="N331:Q331"/>
    <mergeCell ref="V357:V358"/>
    <mergeCell ref="R359:S359"/>
    <mergeCell ref="M378:W378"/>
    <mergeCell ref="M379:W379"/>
    <mergeCell ref="M356:M360"/>
    <mergeCell ref="N356:Q356"/>
    <mergeCell ref="R356:V356"/>
    <mergeCell ref="W356:W358"/>
    <mergeCell ref="N357:N358"/>
    <mergeCell ref="O357:O358"/>
    <mergeCell ref="R381:V381"/>
    <mergeCell ref="W381:W383"/>
    <mergeCell ref="N382:N383"/>
    <mergeCell ref="O382:O383"/>
    <mergeCell ref="P382:P383"/>
    <mergeCell ref="Q382:Q383"/>
    <mergeCell ref="R382:S383"/>
    <mergeCell ref="U382:U383"/>
    <mergeCell ref="P407:P408"/>
    <mergeCell ref="Q407:Q408"/>
    <mergeCell ref="R407:S408"/>
    <mergeCell ref="U407:U408"/>
    <mergeCell ref="V382:V383"/>
    <mergeCell ref="R384:S384"/>
    <mergeCell ref="M403:W403"/>
    <mergeCell ref="M404:W404"/>
    <mergeCell ref="M381:M385"/>
    <mergeCell ref="N381:Q381"/>
    <mergeCell ref="V407:V408"/>
    <mergeCell ref="R409:S409"/>
    <mergeCell ref="M428:W428"/>
    <mergeCell ref="M429:W429"/>
    <mergeCell ref="M406:M410"/>
    <mergeCell ref="N406:Q406"/>
    <mergeCell ref="R406:V406"/>
    <mergeCell ref="W406:W408"/>
    <mergeCell ref="N407:N408"/>
    <mergeCell ref="O407:O408"/>
    <mergeCell ref="M431:M435"/>
    <mergeCell ref="N431:Q431"/>
    <mergeCell ref="R431:V431"/>
    <mergeCell ref="N432:N433"/>
    <mergeCell ref="O432:O433"/>
    <mergeCell ref="P432:P433"/>
    <mergeCell ref="Q432:Q433"/>
    <mergeCell ref="R432:S433"/>
    <mergeCell ref="U432:U433"/>
    <mergeCell ref="V432:V433"/>
    <mergeCell ref="R434:S434"/>
    <mergeCell ref="Q436:Q437"/>
    <mergeCell ref="W431:W433"/>
    <mergeCell ref="W436:W437"/>
    <mergeCell ref="Q438:Q439"/>
    <mergeCell ref="W438:W439"/>
    <mergeCell ref="M436:M437"/>
    <mergeCell ref="N436:N437"/>
    <mergeCell ref="P436:P437"/>
    <mergeCell ref="Q442:Q443"/>
    <mergeCell ref="M438:M439"/>
    <mergeCell ref="N438:N439"/>
    <mergeCell ref="O438:O439"/>
    <mergeCell ref="P438:P439"/>
    <mergeCell ref="Q440:Q441"/>
    <mergeCell ref="O436:O437"/>
    <mergeCell ref="W442:W443"/>
    <mergeCell ref="M440:M441"/>
    <mergeCell ref="N440:N441"/>
    <mergeCell ref="O440:O441"/>
    <mergeCell ref="M442:M443"/>
    <mergeCell ref="N442:N443"/>
    <mergeCell ref="O442:O443"/>
    <mergeCell ref="P442:P443"/>
    <mergeCell ref="P440:P441"/>
    <mergeCell ref="W440:W441"/>
    <mergeCell ref="M446:M447"/>
    <mergeCell ref="N446:N447"/>
    <mergeCell ref="O446:O447"/>
    <mergeCell ref="P446:P447"/>
    <mergeCell ref="M444:M445"/>
    <mergeCell ref="N444:N445"/>
    <mergeCell ref="O444:O445"/>
    <mergeCell ref="P444:P445"/>
    <mergeCell ref="Q444:Q445"/>
    <mergeCell ref="W444:W445"/>
    <mergeCell ref="Q446:Q447"/>
    <mergeCell ref="W446:W447"/>
    <mergeCell ref="Q448:Q449"/>
    <mergeCell ref="W448:W449"/>
    <mergeCell ref="Q450:Q451"/>
    <mergeCell ref="W450:W451"/>
    <mergeCell ref="M448:M449"/>
    <mergeCell ref="N448:N449"/>
    <mergeCell ref="M450:M451"/>
    <mergeCell ref="N450:N451"/>
    <mergeCell ref="O450:O451"/>
    <mergeCell ref="P450:P451"/>
    <mergeCell ref="O448:O449"/>
    <mergeCell ref="P448:P449"/>
    <mergeCell ref="M454:M455"/>
    <mergeCell ref="N454:N455"/>
    <mergeCell ref="O454:O455"/>
    <mergeCell ref="P454:P455"/>
    <mergeCell ref="M452:M453"/>
    <mergeCell ref="N452:N453"/>
    <mergeCell ref="O452:O453"/>
    <mergeCell ref="P452:P453"/>
    <mergeCell ref="Q452:Q453"/>
    <mergeCell ref="W452:W453"/>
    <mergeCell ref="Q454:Q455"/>
    <mergeCell ref="W454:W455"/>
    <mergeCell ref="Q456:Q457"/>
    <mergeCell ref="W456:W457"/>
    <mergeCell ref="Q458:Q459"/>
    <mergeCell ref="W458:W459"/>
    <mergeCell ref="M456:M457"/>
    <mergeCell ref="N456:N457"/>
    <mergeCell ref="M458:M459"/>
    <mergeCell ref="N458:N459"/>
    <mergeCell ref="O458:O459"/>
    <mergeCell ref="P458:P459"/>
    <mergeCell ref="O456:O457"/>
    <mergeCell ref="P456:P457"/>
    <mergeCell ref="W473:W474"/>
    <mergeCell ref="V469:V470"/>
    <mergeCell ref="R471:S471"/>
    <mergeCell ref="N469:N470"/>
    <mergeCell ref="O469:O470"/>
    <mergeCell ref="P469:P470"/>
    <mergeCell ref="Q469:Q470"/>
    <mergeCell ref="M465:W465"/>
    <mergeCell ref="M466:W466"/>
    <mergeCell ref="M468:M472"/>
    <mergeCell ref="N468:Q468"/>
    <mergeCell ref="R468:V468"/>
    <mergeCell ref="W468:W470"/>
    <mergeCell ref="R469:S470"/>
    <mergeCell ref="U469:U470"/>
    <mergeCell ref="M473:M474"/>
    <mergeCell ref="N473:N474"/>
    <mergeCell ref="Q473:Q474"/>
    <mergeCell ref="P473:P474"/>
    <mergeCell ref="O473:O474"/>
    <mergeCell ref="M475:M476"/>
    <mergeCell ref="N475:N476"/>
    <mergeCell ref="O475:O476"/>
    <mergeCell ref="Q475:Q476"/>
    <mergeCell ref="W475:W476"/>
    <mergeCell ref="Q479:Q480"/>
    <mergeCell ref="W479:W480"/>
    <mergeCell ref="Q477:Q478"/>
    <mergeCell ref="W477:W478"/>
    <mergeCell ref="P475:P476"/>
    <mergeCell ref="O479:O480"/>
    <mergeCell ref="P479:P480"/>
    <mergeCell ref="O477:O478"/>
    <mergeCell ref="P477:P478"/>
    <mergeCell ref="M477:M478"/>
    <mergeCell ref="N477:N478"/>
    <mergeCell ref="M479:M480"/>
    <mergeCell ref="N479:N480"/>
    <mergeCell ref="M483:M484"/>
    <mergeCell ref="N483:N484"/>
    <mergeCell ref="O483:O484"/>
    <mergeCell ref="P483:P484"/>
    <mergeCell ref="M481:M482"/>
    <mergeCell ref="N481:N482"/>
    <mergeCell ref="O481:O482"/>
    <mergeCell ref="P481:P482"/>
    <mergeCell ref="Q481:Q482"/>
    <mergeCell ref="W481:W482"/>
    <mergeCell ref="Q483:Q484"/>
    <mergeCell ref="W483:W484"/>
    <mergeCell ref="Q485:Q486"/>
    <mergeCell ref="W485:W486"/>
    <mergeCell ref="Q487:Q488"/>
    <mergeCell ref="W487:W488"/>
    <mergeCell ref="M485:M486"/>
    <mergeCell ref="N485:N486"/>
    <mergeCell ref="M487:M488"/>
    <mergeCell ref="N487:N488"/>
    <mergeCell ref="O487:O488"/>
    <mergeCell ref="P487:P488"/>
    <mergeCell ref="O485:O486"/>
    <mergeCell ref="P485:P486"/>
    <mergeCell ref="M491:M492"/>
    <mergeCell ref="N491:N492"/>
    <mergeCell ref="O491:O492"/>
    <mergeCell ref="P491:P492"/>
    <mergeCell ref="M489:M490"/>
    <mergeCell ref="N489:N490"/>
    <mergeCell ref="O489:O490"/>
    <mergeCell ref="P489:P490"/>
    <mergeCell ref="Q489:Q490"/>
    <mergeCell ref="W489:W490"/>
    <mergeCell ref="Q491:Q492"/>
    <mergeCell ref="W491:W492"/>
    <mergeCell ref="Q493:Q494"/>
    <mergeCell ref="W493:W494"/>
    <mergeCell ref="M493:M494"/>
    <mergeCell ref="N493:N494"/>
    <mergeCell ref="M495:M496"/>
    <mergeCell ref="N495:N496"/>
    <mergeCell ref="O495:O496"/>
    <mergeCell ref="P495:P496"/>
    <mergeCell ref="O493:O494"/>
    <mergeCell ref="P493:P494"/>
    <mergeCell ref="Q506:Q507"/>
    <mergeCell ref="Q495:Q496"/>
    <mergeCell ref="W495:W496"/>
    <mergeCell ref="R506:S507"/>
    <mergeCell ref="U506:U507"/>
    <mergeCell ref="V506:V507"/>
    <mergeCell ref="R508:S508"/>
    <mergeCell ref="M502:W502"/>
    <mergeCell ref="M503:W503"/>
    <mergeCell ref="M505:M509"/>
    <mergeCell ref="N505:Q505"/>
    <mergeCell ref="R505:V505"/>
    <mergeCell ref="W505:W507"/>
    <mergeCell ref="N506:N507"/>
    <mergeCell ref="O506:O507"/>
    <mergeCell ref="P506:P507"/>
    <mergeCell ref="V531:V532"/>
    <mergeCell ref="R533:S533"/>
    <mergeCell ref="M527:W527"/>
    <mergeCell ref="M528:W528"/>
    <mergeCell ref="M530:M534"/>
    <mergeCell ref="N530:Q530"/>
    <mergeCell ref="R530:V530"/>
    <mergeCell ref="W530:W532"/>
    <mergeCell ref="N531:N532"/>
    <mergeCell ref="O531:O532"/>
    <mergeCell ref="P556:P557"/>
    <mergeCell ref="Q556:Q557"/>
    <mergeCell ref="R531:S532"/>
    <mergeCell ref="U531:U532"/>
    <mergeCell ref="P531:P532"/>
    <mergeCell ref="Q531:Q532"/>
    <mergeCell ref="R556:S557"/>
    <mergeCell ref="U556:U557"/>
    <mergeCell ref="V556:V557"/>
    <mergeCell ref="R558:S558"/>
    <mergeCell ref="M552:W552"/>
    <mergeCell ref="M553:W553"/>
    <mergeCell ref="M555:M559"/>
    <mergeCell ref="N555:Q555"/>
    <mergeCell ref="R555:V555"/>
    <mergeCell ref="W555:W557"/>
    <mergeCell ref="N556:N557"/>
    <mergeCell ref="O556:O557"/>
    <mergeCell ref="V581:V582"/>
    <mergeCell ref="R583:S583"/>
    <mergeCell ref="M577:W577"/>
    <mergeCell ref="M578:W578"/>
    <mergeCell ref="M580:M584"/>
    <mergeCell ref="N580:Q580"/>
    <mergeCell ref="R580:V580"/>
    <mergeCell ref="W580:W582"/>
    <mergeCell ref="N581:N582"/>
    <mergeCell ref="O581:O582"/>
    <mergeCell ref="P606:P607"/>
    <mergeCell ref="Q606:Q607"/>
    <mergeCell ref="R581:S582"/>
    <mergeCell ref="U581:U582"/>
    <mergeCell ref="P581:P582"/>
    <mergeCell ref="Q581:Q582"/>
    <mergeCell ref="R606:S607"/>
    <mergeCell ref="U606:U607"/>
    <mergeCell ref="V606:V607"/>
    <mergeCell ref="R608:S608"/>
    <mergeCell ref="M602:W602"/>
    <mergeCell ref="M603:W603"/>
    <mergeCell ref="M605:M609"/>
    <mergeCell ref="N605:Q605"/>
    <mergeCell ref="R605:V605"/>
    <mergeCell ref="W605:W607"/>
    <mergeCell ref="N606:N607"/>
    <mergeCell ref="O606:O607"/>
    <mergeCell ref="V631:V632"/>
    <mergeCell ref="R633:S633"/>
    <mergeCell ref="M627:W627"/>
    <mergeCell ref="M628:W628"/>
    <mergeCell ref="M630:M634"/>
    <mergeCell ref="N630:Q630"/>
    <mergeCell ref="R630:V630"/>
    <mergeCell ref="W630:W632"/>
    <mergeCell ref="N631:N632"/>
    <mergeCell ref="O631:O632"/>
    <mergeCell ref="P656:P657"/>
    <mergeCell ref="Q656:Q657"/>
    <mergeCell ref="R631:S632"/>
    <mergeCell ref="U631:U632"/>
    <mergeCell ref="P631:P632"/>
    <mergeCell ref="Q631:Q632"/>
    <mergeCell ref="R656:S657"/>
    <mergeCell ref="U656:U657"/>
    <mergeCell ref="V656:V657"/>
    <mergeCell ref="R658:S658"/>
    <mergeCell ref="M652:W652"/>
    <mergeCell ref="M653:W653"/>
    <mergeCell ref="M655:M659"/>
    <mergeCell ref="N655:Q655"/>
    <mergeCell ref="R655:V655"/>
    <mergeCell ref="W655:W657"/>
    <mergeCell ref="N656:N657"/>
    <mergeCell ref="O656:O657"/>
    <mergeCell ref="V681:V682"/>
    <mergeCell ref="R683:S683"/>
    <mergeCell ref="M677:W677"/>
    <mergeCell ref="M678:W678"/>
    <mergeCell ref="M680:M684"/>
    <mergeCell ref="N680:Q680"/>
    <mergeCell ref="R680:V680"/>
    <mergeCell ref="W680:W682"/>
    <mergeCell ref="N681:N682"/>
    <mergeCell ref="O681:O682"/>
    <mergeCell ref="P706:P707"/>
    <mergeCell ref="Q706:Q707"/>
    <mergeCell ref="R681:S682"/>
    <mergeCell ref="U681:U682"/>
    <mergeCell ref="P681:P682"/>
    <mergeCell ref="Q681:Q682"/>
    <mergeCell ref="R706:S707"/>
    <mergeCell ref="U706:U707"/>
    <mergeCell ref="V706:V707"/>
    <mergeCell ref="R708:S708"/>
    <mergeCell ref="M702:W702"/>
    <mergeCell ref="M703:W703"/>
    <mergeCell ref="M705:M709"/>
    <mergeCell ref="N705:Q705"/>
    <mergeCell ref="R705:V705"/>
    <mergeCell ref="W705:W707"/>
    <mergeCell ref="N706:N707"/>
    <mergeCell ref="O706:O707"/>
    <mergeCell ref="F58:J58"/>
    <mergeCell ref="K58:K60"/>
    <mergeCell ref="K250:K252"/>
    <mergeCell ref="A228:K228"/>
    <mergeCell ref="A229:K229"/>
    <mergeCell ref="F234:G234"/>
    <mergeCell ref="K231:K233"/>
    <mergeCell ref="B232:B233"/>
    <mergeCell ref="C232:C233"/>
    <mergeCell ref="A231:A235"/>
    <mergeCell ref="B231:E231"/>
    <mergeCell ref="F231:J231"/>
    <mergeCell ref="K325:K327"/>
    <mergeCell ref="J282:J283"/>
    <mergeCell ref="D282:D283"/>
    <mergeCell ref="E282:E283"/>
    <mergeCell ref="A279:K279"/>
    <mergeCell ref="I232:I233"/>
    <mergeCell ref="F232:G233"/>
    <mergeCell ref="K143:K147"/>
    <mergeCell ref="A80:K80"/>
    <mergeCell ref="F59:G60"/>
    <mergeCell ref="F61:G61"/>
    <mergeCell ref="A58:A62"/>
    <mergeCell ref="A81:K81"/>
    <mergeCell ref="B59:B60"/>
    <mergeCell ref="C59:C60"/>
    <mergeCell ref="D59:D60"/>
    <mergeCell ref="E59:E60"/>
    <mergeCell ref="E123:E127"/>
    <mergeCell ref="K123:K127"/>
    <mergeCell ref="E128:E132"/>
    <mergeCell ref="K375:K377"/>
    <mergeCell ref="K400:K402"/>
    <mergeCell ref="A328:K328"/>
    <mergeCell ref="A329:K329"/>
    <mergeCell ref="D332:D333"/>
    <mergeCell ref="E332:E333"/>
    <mergeCell ref="F332:G333"/>
    <mergeCell ref="A331:A335"/>
    <mergeCell ref="F580:J580"/>
    <mergeCell ref="K580:K582"/>
    <mergeCell ref="K425:K427"/>
    <mergeCell ref="K462:K464"/>
    <mergeCell ref="K499:K501"/>
    <mergeCell ref="K524:K526"/>
    <mergeCell ref="A428:K428"/>
    <mergeCell ref="F434:G434"/>
    <mergeCell ref="C432:C433"/>
    <mergeCell ref="D432:D433"/>
    <mergeCell ref="K356:K358"/>
    <mergeCell ref="B357:B358"/>
    <mergeCell ref="C357:C358"/>
    <mergeCell ref="D357:D358"/>
    <mergeCell ref="E357:E358"/>
    <mergeCell ref="B331:E331"/>
    <mergeCell ref="F331:J331"/>
    <mergeCell ref="F334:G334"/>
    <mergeCell ref="K331:K333"/>
    <mergeCell ref="B332:B333"/>
    <mergeCell ref="C332:C333"/>
    <mergeCell ref="I332:I333"/>
    <mergeCell ref="J332:J333"/>
    <mergeCell ref="K350:K352"/>
    <mergeCell ref="Y1:AI1"/>
    <mergeCell ref="AI2:AI4"/>
    <mergeCell ref="Y5:AI5"/>
    <mergeCell ref="Y6:AI6"/>
    <mergeCell ref="AI8:AI10"/>
    <mergeCell ref="K649:K651"/>
    <mergeCell ref="A577:K577"/>
    <mergeCell ref="A578:K578"/>
    <mergeCell ref="A580:A584"/>
    <mergeCell ref="B580:E580"/>
    <mergeCell ref="AA9:AA10"/>
    <mergeCell ref="AB9:AB10"/>
    <mergeCell ref="AC9:AC10"/>
    <mergeCell ref="AD9:AE10"/>
    <mergeCell ref="AG9:AG10"/>
    <mergeCell ref="Y7:Z7"/>
    <mergeCell ref="Y8:Y12"/>
    <mergeCell ref="Z8:AC8"/>
    <mergeCell ref="AD8:AH8"/>
    <mergeCell ref="AD11:AE11"/>
    <mergeCell ref="AH9:AH10"/>
    <mergeCell ref="Y30:AI30"/>
    <mergeCell ref="Y31:AI31"/>
    <mergeCell ref="Y32:Z32"/>
    <mergeCell ref="AB34:AB35"/>
    <mergeCell ref="AC34:AC35"/>
    <mergeCell ref="AD34:AE35"/>
    <mergeCell ref="AG34:AG35"/>
    <mergeCell ref="AH34:AH35"/>
    <mergeCell ref="Z9:Z10"/>
    <mergeCell ref="AD36:AE36"/>
    <mergeCell ref="Y55:AI55"/>
    <mergeCell ref="AH109:AH110"/>
    <mergeCell ref="Y56:AI56"/>
    <mergeCell ref="Y33:Y37"/>
    <mergeCell ref="Z33:AC33"/>
    <mergeCell ref="AD33:AH33"/>
    <mergeCell ref="AI33:AI35"/>
    <mergeCell ref="Z34:Z35"/>
    <mergeCell ref="AA34:AA35"/>
    <mergeCell ref="AD58:AH58"/>
    <mergeCell ref="AI58:AI60"/>
    <mergeCell ref="Z59:Z60"/>
    <mergeCell ref="AA59:AA60"/>
    <mergeCell ref="AB59:AB60"/>
    <mergeCell ref="AC59:AC60"/>
    <mergeCell ref="AD59:AE60"/>
    <mergeCell ref="AG59:AG60"/>
    <mergeCell ref="AB84:AB85"/>
    <mergeCell ref="AC84:AC85"/>
    <mergeCell ref="AD84:AE85"/>
    <mergeCell ref="AG84:AG85"/>
    <mergeCell ref="AH59:AH60"/>
    <mergeCell ref="AD61:AE61"/>
    <mergeCell ref="Y80:AI80"/>
    <mergeCell ref="Y81:AI81"/>
    <mergeCell ref="Y58:Y62"/>
    <mergeCell ref="Z58:AC58"/>
    <mergeCell ref="AH84:AH85"/>
    <mergeCell ref="AD111:AE111"/>
    <mergeCell ref="Y113:Y117"/>
    <mergeCell ref="Z113:Z117"/>
    <mergeCell ref="AA113:AA117"/>
    <mergeCell ref="AB113:AB117"/>
    <mergeCell ref="AC113:AC117"/>
    <mergeCell ref="Y108:Y112"/>
    <mergeCell ref="Z108:AC108"/>
    <mergeCell ref="AI113:AI117"/>
    <mergeCell ref="Y118:Y122"/>
    <mergeCell ref="Z118:Z122"/>
    <mergeCell ref="AA118:AA122"/>
    <mergeCell ref="AB118:AB122"/>
    <mergeCell ref="AC118:AC122"/>
    <mergeCell ref="AI118:AI122"/>
    <mergeCell ref="AD86:AE86"/>
    <mergeCell ref="Y105:AI105"/>
    <mergeCell ref="Y106:AI106"/>
    <mergeCell ref="Y83:Y87"/>
    <mergeCell ref="Z83:AC83"/>
    <mergeCell ref="AD83:AH83"/>
    <mergeCell ref="AI83:AI85"/>
    <mergeCell ref="Z84:Z85"/>
    <mergeCell ref="AA84:AA85"/>
    <mergeCell ref="AD108:AH108"/>
    <mergeCell ref="AI108:AI110"/>
    <mergeCell ref="Z109:Z110"/>
    <mergeCell ref="AA109:AA110"/>
    <mergeCell ref="AB109:AB110"/>
    <mergeCell ref="AC109:AC110"/>
    <mergeCell ref="AD109:AE110"/>
    <mergeCell ref="AG109:AG110"/>
    <mergeCell ref="AC128:AC132"/>
    <mergeCell ref="AI128:AI132"/>
    <mergeCell ref="Y123:Y127"/>
    <mergeCell ref="Z123:Z127"/>
    <mergeCell ref="AA123:AA127"/>
    <mergeCell ref="Y128:Y132"/>
    <mergeCell ref="Z128:Z132"/>
    <mergeCell ref="AA128:AA132"/>
    <mergeCell ref="AB128:AB132"/>
    <mergeCell ref="AB123:AB127"/>
    <mergeCell ref="Y138:Y142"/>
    <mergeCell ref="Z138:Z142"/>
    <mergeCell ref="AA138:AA142"/>
    <mergeCell ref="AB138:AB142"/>
    <mergeCell ref="Y133:Y137"/>
    <mergeCell ref="Z133:Z137"/>
    <mergeCell ref="AA133:AA137"/>
    <mergeCell ref="AB133:AB137"/>
    <mergeCell ref="AC133:AC137"/>
    <mergeCell ref="AI133:AI137"/>
    <mergeCell ref="AC138:AC142"/>
    <mergeCell ref="AI138:AI142"/>
    <mergeCell ref="AC123:AC127"/>
    <mergeCell ref="AI123:AI127"/>
    <mergeCell ref="Y181:Y185"/>
    <mergeCell ref="Z181:AC181"/>
    <mergeCell ref="AD181:AH181"/>
    <mergeCell ref="AI181:AI183"/>
    <mergeCell ref="Z182:Z183"/>
    <mergeCell ref="AA182:AA183"/>
    <mergeCell ref="AC143:AC147"/>
    <mergeCell ref="AI143:AI147"/>
    <mergeCell ref="AC148:AC152"/>
    <mergeCell ref="AI148:AI152"/>
    <mergeCell ref="Y143:Y147"/>
    <mergeCell ref="Z143:Z147"/>
    <mergeCell ref="Y148:Y152"/>
    <mergeCell ref="Z148:Z152"/>
    <mergeCell ref="AA148:AA152"/>
    <mergeCell ref="AB148:AB152"/>
    <mergeCell ref="AA143:AA147"/>
    <mergeCell ref="AB143:AB147"/>
    <mergeCell ref="Y158:Y162"/>
    <mergeCell ref="Z158:Z162"/>
    <mergeCell ref="AA158:AA162"/>
    <mergeCell ref="AB158:AB162"/>
    <mergeCell ref="Y153:Y157"/>
    <mergeCell ref="Z153:Z157"/>
    <mergeCell ref="AA153:AA157"/>
    <mergeCell ref="AB153:AB157"/>
    <mergeCell ref="AC153:AC157"/>
    <mergeCell ref="AI153:AI157"/>
    <mergeCell ref="AC158:AC162"/>
    <mergeCell ref="AI158:AI162"/>
    <mergeCell ref="AD182:AE183"/>
    <mergeCell ref="AG182:AG183"/>
    <mergeCell ref="AB182:AB183"/>
    <mergeCell ref="AC182:AC183"/>
    <mergeCell ref="Y229:AI229"/>
    <mergeCell ref="Y231:Y235"/>
    <mergeCell ref="Z231:AC231"/>
    <mergeCell ref="AD231:AH231"/>
    <mergeCell ref="Y203:AI203"/>
    <mergeCell ref="Y204:AI204"/>
    <mergeCell ref="Y206:Y210"/>
    <mergeCell ref="Z206:AC206"/>
    <mergeCell ref="AD206:AH206"/>
    <mergeCell ref="AI206:AI208"/>
    <mergeCell ref="AG232:AG233"/>
    <mergeCell ref="AB232:AB233"/>
    <mergeCell ref="AC163:AC167"/>
    <mergeCell ref="AI163:AI167"/>
    <mergeCell ref="AC168:AC172"/>
    <mergeCell ref="AI168:AI172"/>
    <mergeCell ref="Y163:Y167"/>
    <mergeCell ref="Z163:Z167"/>
    <mergeCell ref="Y168:Y172"/>
    <mergeCell ref="Z168:Z172"/>
    <mergeCell ref="AA168:AA172"/>
    <mergeCell ref="AB168:AB172"/>
    <mergeCell ref="AA163:AA167"/>
    <mergeCell ref="AB163:AB167"/>
    <mergeCell ref="AH182:AH183"/>
    <mergeCell ref="AD184:AE184"/>
    <mergeCell ref="Y178:AI178"/>
    <mergeCell ref="Y179:AI179"/>
    <mergeCell ref="AD234:AE234"/>
    <mergeCell ref="AD207:AE208"/>
    <mergeCell ref="AG207:AG208"/>
    <mergeCell ref="AH207:AH208"/>
    <mergeCell ref="AH232:AH233"/>
    <mergeCell ref="AD209:AE209"/>
    <mergeCell ref="Y228:AI228"/>
    <mergeCell ref="Z257:Z258"/>
    <mergeCell ref="AA257:AA258"/>
    <mergeCell ref="AD259:AE259"/>
    <mergeCell ref="AC257:AC258"/>
    <mergeCell ref="AI231:AI233"/>
    <mergeCell ref="Z232:Z233"/>
    <mergeCell ref="AA232:AA233"/>
    <mergeCell ref="AB257:AB258"/>
    <mergeCell ref="AC232:AC233"/>
    <mergeCell ref="AD232:AE233"/>
    <mergeCell ref="AD257:AE258"/>
    <mergeCell ref="AG257:AG258"/>
    <mergeCell ref="Z207:Z208"/>
    <mergeCell ref="AA207:AA208"/>
    <mergeCell ref="AB207:AB208"/>
    <mergeCell ref="AC207:AC208"/>
    <mergeCell ref="Y278:AI278"/>
    <mergeCell ref="Y279:AI279"/>
    <mergeCell ref="Y253:AI253"/>
    <mergeCell ref="Y254:AI254"/>
    <mergeCell ref="Y256:Y260"/>
    <mergeCell ref="Z256:AC256"/>
    <mergeCell ref="AD256:AH256"/>
    <mergeCell ref="AI256:AI258"/>
    <mergeCell ref="AD281:AH281"/>
    <mergeCell ref="AI281:AI283"/>
    <mergeCell ref="Z282:Z283"/>
    <mergeCell ref="AA282:AA283"/>
    <mergeCell ref="AB282:AB283"/>
    <mergeCell ref="AC282:AC283"/>
    <mergeCell ref="AD282:AE283"/>
    <mergeCell ref="AG282:AG283"/>
    <mergeCell ref="AB307:AB308"/>
    <mergeCell ref="AC307:AC308"/>
    <mergeCell ref="AD307:AE308"/>
    <mergeCell ref="AG307:AG308"/>
    <mergeCell ref="AH282:AH283"/>
    <mergeCell ref="AD284:AE284"/>
    <mergeCell ref="Y303:AI303"/>
    <mergeCell ref="Y304:AI304"/>
    <mergeCell ref="Y281:Y285"/>
    <mergeCell ref="Z281:AC281"/>
    <mergeCell ref="AH307:AH308"/>
    <mergeCell ref="AH257:AH258"/>
    <mergeCell ref="AD309:AE309"/>
    <mergeCell ref="Y328:AI328"/>
    <mergeCell ref="Y329:AI329"/>
    <mergeCell ref="Y306:Y310"/>
    <mergeCell ref="Z306:AC306"/>
    <mergeCell ref="AD306:AH306"/>
    <mergeCell ref="AI306:AI308"/>
    <mergeCell ref="Z307:Z308"/>
    <mergeCell ref="AA307:AA308"/>
    <mergeCell ref="AD331:AH331"/>
    <mergeCell ref="AI331:AI333"/>
    <mergeCell ref="Z332:Z333"/>
    <mergeCell ref="AA332:AA333"/>
    <mergeCell ref="AB332:AB333"/>
    <mergeCell ref="AC332:AC333"/>
    <mergeCell ref="AD332:AE333"/>
    <mergeCell ref="AG332:AG333"/>
    <mergeCell ref="AB357:AB358"/>
    <mergeCell ref="AC357:AC358"/>
    <mergeCell ref="AD357:AE358"/>
    <mergeCell ref="AG357:AG358"/>
    <mergeCell ref="AH332:AH333"/>
    <mergeCell ref="AD334:AE334"/>
    <mergeCell ref="Y353:AI353"/>
    <mergeCell ref="Y354:AI354"/>
    <mergeCell ref="Y331:Y335"/>
    <mergeCell ref="Z331:AC331"/>
    <mergeCell ref="AH357:AH358"/>
    <mergeCell ref="AD359:AE359"/>
    <mergeCell ref="Y378:AI378"/>
    <mergeCell ref="Y379:AI379"/>
    <mergeCell ref="Y356:Y360"/>
    <mergeCell ref="Z356:AC356"/>
    <mergeCell ref="AD356:AH356"/>
    <mergeCell ref="AI356:AI358"/>
    <mergeCell ref="Z357:Z358"/>
    <mergeCell ref="AA357:AA358"/>
    <mergeCell ref="AD381:AH381"/>
    <mergeCell ref="AI381:AI383"/>
    <mergeCell ref="Z382:Z383"/>
    <mergeCell ref="AA382:AA383"/>
    <mergeCell ref="AB382:AB383"/>
    <mergeCell ref="AC382:AC383"/>
    <mergeCell ref="AD382:AE383"/>
    <mergeCell ref="AG382:AG383"/>
    <mergeCell ref="AB407:AB408"/>
    <mergeCell ref="AC407:AC408"/>
    <mergeCell ref="AD407:AE408"/>
    <mergeCell ref="AG407:AG408"/>
    <mergeCell ref="AH382:AH383"/>
    <mergeCell ref="AD384:AE384"/>
    <mergeCell ref="Y403:AI403"/>
    <mergeCell ref="Y404:AI404"/>
    <mergeCell ref="Y381:Y385"/>
    <mergeCell ref="Z381:AC381"/>
    <mergeCell ref="AH407:AH408"/>
    <mergeCell ref="AD409:AE409"/>
    <mergeCell ref="Y428:AI428"/>
    <mergeCell ref="Y429:AI429"/>
    <mergeCell ref="Y406:Y410"/>
    <mergeCell ref="Z406:AC406"/>
    <mergeCell ref="AD406:AH406"/>
    <mergeCell ref="AI406:AI408"/>
    <mergeCell ref="Z407:Z408"/>
    <mergeCell ref="AA407:AA408"/>
    <mergeCell ref="Y431:Y435"/>
    <mergeCell ref="Z431:AC431"/>
    <mergeCell ref="Y436:Y437"/>
    <mergeCell ref="Z436:Z437"/>
    <mergeCell ref="AA436:AA437"/>
    <mergeCell ref="AD431:AH431"/>
    <mergeCell ref="Z432:Z433"/>
    <mergeCell ref="AA432:AA433"/>
    <mergeCell ref="AB432:AB433"/>
    <mergeCell ref="AC432:AC433"/>
    <mergeCell ref="AH432:AH433"/>
    <mergeCell ref="AD434:AE434"/>
    <mergeCell ref="AI436:AI437"/>
    <mergeCell ref="AC438:AC439"/>
    <mergeCell ref="AI438:AI439"/>
    <mergeCell ref="AB436:AB437"/>
    <mergeCell ref="AC436:AC437"/>
    <mergeCell ref="AI431:AI433"/>
    <mergeCell ref="AD432:AE433"/>
    <mergeCell ref="AG432:AG433"/>
    <mergeCell ref="Y438:Y439"/>
    <mergeCell ref="Z438:Z439"/>
    <mergeCell ref="AA438:AA439"/>
    <mergeCell ref="AB438:AB439"/>
    <mergeCell ref="AC440:AC441"/>
    <mergeCell ref="AI440:AI441"/>
    <mergeCell ref="AC442:AC443"/>
    <mergeCell ref="AI442:AI443"/>
    <mergeCell ref="Y440:Y441"/>
    <mergeCell ref="Z440:Z441"/>
    <mergeCell ref="AA440:AA441"/>
    <mergeCell ref="Y442:Y443"/>
    <mergeCell ref="Z442:Z443"/>
    <mergeCell ref="AA442:AA443"/>
    <mergeCell ref="AB442:AB443"/>
    <mergeCell ref="AB440:AB441"/>
    <mergeCell ref="Y446:Y447"/>
    <mergeCell ref="Z446:Z447"/>
    <mergeCell ref="AA446:AA447"/>
    <mergeCell ref="AB446:AB447"/>
    <mergeCell ref="Y444:Y445"/>
    <mergeCell ref="Z444:Z445"/>
    <mergeCell ref="AA444:AA445"/>
    <mergeCell ref="AB444:AB445"/>
    <mergeCell ref="AC444:AC445"/>
    <mergeCell ref="AI444:AI445"/>
    <mergeCell ref="AC446:AC447"/>
    <mergeCell ref="AI446:AI447"/>
    <mergeCell ref="AC448:AC449"/>
    <mergeCell ref="AI448:AI449"/>
    <mergeCell ref="AC450:AC451"/>
    <mergeCell ref="AI450:AI451"/>
    <mergeCell ref="Y448:Y449"/>
    <mergeCell ref="Z448:Z449"/>
    <mergeCell ref="Y450:Y451"/>
    <mergeCell ref="Z450:Z451"/>
    <mergeCell ref="AA450:AA451"/>
    <mergeCell ref="AB450:AB451"/>
    <mergeCell ref="AA448:AA449"/>
    <mergeCell ref="AB448:AB449"/>
    <mergeCell ref="Y454:Y455"/>
    <mergeCell ref="Z454:Z455"/>
    <mergeCell ref="AA454:AA455"/>
    <mergeCell ref="AB454:AB455"/>
    <mergeCell ref="Y452:Y453"/>
    <mergeCell ref="Z452:Z453"/>
    <mergeCell ref="AA452:AA453"/>
    <mergeCell ref="AB452:AB453"/>
    <mergeCell ref="AC452:AC453"/>
    <mergeCell ref="AI452:AI453"/>
    <mergeCell ref="AC454:AC455"/>
    <mergeCell ref="AI454:AI455"/>
    <mergeCell ref="AC456:AC457"/>
    <mergeCell ref="AI456:AI457"/>
    <mergeCell ref="Y456:Y457"/>
    <mergeCell ref="Z456:Z457"/>
    <mergeCell ref="Y458:Y459"/>
    <mergeCell ref="Z458:Z459"/>
    <mergeCell ref="AA458:AA459"/>
    <mergeCell ref="AB458:AB459"/>
    <mergeCell ref="AA456:AA457"/>
    <mergeCell ref="AB456:AB457"/>
    <mergeCell ref="AC469:AC470"/>
    <mergeCell ref="AC458:AC459"/>
    <mergeCell ref="AI458:AI459"/>
    <mergeCell ref="AD469:AE470"/>
    <mergeCell ref="AG469:AG470"/>
    <mergeCell ref="AH469:AH470"/>
    <mergeCell ref="AD471:AE471"/>
    <mergeCell ref="Y465:AI465"/>
    <mergeCell ref="Y466:AI466"/>
    <mergeCell ref="Y468:Y472"/>
    <mergeCell ref="Z468:AC468"/>
    <mergeCell ref="AD468:AH468"/>
    <mergeCell ref="AI468:AI470"/>
    <mergeCell ref="Z469:Z470"/>
    <mergeCell ref="AA469:AA470"/>
    <mergeCell ref="AB469:AB470"/>
    <mergeCell ref="Y475:Y476"/>
    <mergeCell ref="Z475:Z476"/>
    <mergeCell ref="AA475:AA476"/>
    <mergeCell ref="AB475:AB476"/>
    <mergeCell ref="Y473:Y474"/>
    <mergeCell ref="Z473:Z474"/>
    <mergeCell ref="AA473:AA474"/>
    <mergeCell ref="AB473:AB474"/>
    <mergeCell ref="AC473:AC474"/>
    <mergeCell ref="AI473:AI474"/>
    <mergeCell ref="AC475:AC476"/>
    <mergeCell ref="AI475:AI476"/>
    <mergeCell ref="AC477:AC478"/>
    <mergeCell ref="AI477:AI478"/>
    <mergeCell ref="AC479:AC480"/>
    <mergeCell ref="AI479:AI480"/>
    <mergeCell ref="Y477:Y478"/>
    <mergeCell ref="Z477:Z478"/>
    <mergeCell ref="Y479:Y480"/>
    <mergeCell ref="Z479:Z480"/>
    <mergeCell ref="AA479:AA480"/>
    <mergeCell ref="AB479:AB480"/>
    <mergeCell ref="AA477:AA478"/>
    <mergeCell ref="AB477:AB478"/>
    <mergeCell ref="Y483:Y484"/>
    <mergeCell ref="Z483:Z484"/>
    <mergeCell ref="AA483:AA484"/>
    <mergeCell ref="AB483:AB484"/>
    <mergeCell ref="Y481:Y482"/>
    <mergeCell ref="Z481:Z482"/>
    <mergeCell ref="AA481:AA482"/>
    <mergeCell ref="AB481:AB482"/>
    <mergeCell ref="AC481:AC482"/>
    <mergeCell ref="AI481:AI482"/>
    <mergeCell ref="AC483:AC484"/>
    <mergeCell ref="AI483:AI484"/>
    <mergeCell ref="AC485:AC486"/>
    <mergeCell ref="AI485:AI486"/>
    <mergeCell ref="AC487:AC488"/>
    <mergeCell ref="AI487:AI488"/>
    <mergeCell ref="Y485:Y486"/>
    <mergeCell ref="Z485:Z486"/>
    <mergeCell ref="Y487:Y488"/>
    <mergeCell ref="Z487:Z488"/>
    <mergeCell ref="AA487:AA488"/>
    <mergeCell ref="AB487:AB488"/>
    <mergeCell ref="AA485:AA486"/>
    <mergeCell ref="AB485:AB486"/>
    <mergeCell ref="Y491:Y492"/>
    <mergeCell ref="Z491:Z492"/>
    <mergeCell ref="AA491:AA492"/>
    <mergeCell ref="AB491:AB492"/>
    <mergeCell ref="Y489:Y490"/>
    <mergeCell ref="Z489:Z490"/>
    <mergeCell ref="AA489:AA490"/>
    <mergeCell ref="AB489:AB490"/>
    <mergeCell ref="AC489:AC490"/>
    <mergeCell ref="AI489:AI490"/>
    <mergeCell ref="AC491:AC492"/>
    <mergeCell ref="AI491:AI492"/>
    <mergeCell ref="AC493:AC494"/>
    <mergeCell ref="AI493:AI494"/>
    <mergeCell ref="Y493:Y494"/>
    <mergeCell ref="Z493:Z494"/>
    <mergeCell ref="Y495:Y496"/>
    <mergeCell ref="Z495:Z496"/>
    <mergeCell ref="AA495:AA496"/>
    <mergeCell ref="AB495:AB496"/>
    <mergeCell ref="AA493:AA494"/>
    <mergeCell ref="AB493:AB494"/>
    <mergeCell ref="AC506:AC507"/>
    <mergeCell ref="AC495:AC496"/>
    <mergeCell ref="AI495:AI496"/>
    <mergeCell ref="AD506:AE507"/>
    <mergeCell ref="AG506:AG507"/>
    <mergeCell ref="AH506:AH507"/>
    <mergeCell ref="AD508:AE508"/>
    <mergeCell ref="Y502:AI502"/>
    <mergeCell ref="Y503:AI503"/>
    <mergeCell ref="Y505:Y509"/>
    <mergeCell ref="Z505:AC505"/>
    <mergeCell ref="AD505:AH505"/>
    <mergeCell ref="AI505:AI507"/>
    <mergeCell ref="Z506:Z507"/>
    <mergeCell ref="AA506:AA507"/>
    <mergeCell ref="AB506:AB507"/>
    <mergeCell ref="AH531:AH532"/>
    <mergeCell ref="AD533:AE533"/>
    <mergeCell ref="Y527:AI527"/>
    <mergeCell ref="Y528:AI528"/>
    <mergeCell ref="Y530:Y534"/>
    <mergeCell ref="Z530:AC530"/>
    <mergeCell ref="AD530:AH530"/>
    <mergeCell ref="AI530:AI532"/>
    <mergeCell ref="Z531:Z532"/>
    <mergeCell ref="AA531:AA532"/>
    <mergeCell ref="AB556:AB557"/>
    <mergeCell ref="AC556:AC557"/>
    <mergeCell ref="AD531:AE532"/>
    <mergeCell ref="AG531:AG532"/>
    <mergeCell ref="AB531:AB532"/>
    <mergeCell ref="AC531:AC532"/>
    <mergeCell ref="AD556:AE557"/>
    <mergeCell ref="AG556:AG557"/>
    <mergeCell ref="AH556:AH557"/>
    <mergeCell ref="AD558:AE558"/>
    <mergeCell ref="Y552:AI552"/>
    <mergeCell ref="Y553:AI553"/>
    <mergeCell ref="Y555:Y559"/>
    <mergeCell ref="Z555:AC555"/>
    <mergeCell ref="AD555:AH555"/>
    <mergeCell ref="AI555:AI557"/>
    <mergeCell ref="Z556:Z557"/>
    <mergeCell ref="AA556:AA557"/>
    <mergeCell ref="AH581:AH582"/>
    <mergeCell ref="AD583:AE583"/>
    <mergeCell ref="Y577:AI577"/>
    <mergeCell ref="Y578:AI578"/>
    <mergeCell ref="Y580:Y584"/>
    <mergeCell ref="Z580:AC580"/>
    <mergeCell ref="AD580:AH580"/>
    <mergeCell ref="AI580:AI582"/>
    <mergeCell ref="Z581:Z582"/>
    <mergeCell ref="AA581:AA582"/>
    <mergeCell ref="AB606:AB607"/>
    <mergeCell ref="AC606:AC607"/>
    <mergeCell ref="AD581:AE582"/>
    <mergeCell ref="AG581:AG582"/>
    <mergeCell ref="AB581:AB582"/>
    <mergeCell ref="AC581:AC582"/>
    <mergeCell ref="AD606:AE607"/>
    <mergeCell ref="AG606:AG607"/>
    <mergeCell ref="AH606:AH607"/>
    <mergeCell ref="AD608:AE608"/>
    <mergeCell ref="Y602:AI602"/>
    <mergeCell ref="Y603:AI603"/>
    <mergeCell ref="Y605:Y609"/>
    <mergeCell ref="Z605:AC605"/>
    <mergeCell ref="AD605:AH605"/>
    <mergeCell ref="AI605:AI607"/>
    <mergeCell ref="Z606:Z607"/>
    <mergeCell ref="AA606:AA607"/>
    <mergeCell ref="AH631:AH632"/>
    <mergeCell ref="AD633:AE633"/>
    <mergeCell ref="Y627:AI627"/>
    <mergeCell ref="Y628:AI628"/>
    <mergeCell ref="Y630:Y634"/>
    <mergeCell ref="Z630:AC630"/>
    <mergeCell ref="AD630:AH630"/>
    <mergeCell ref="AI630:AI632"/>
    <mergeCell ref="Z631:Z632"/>
    <mergeCell ref="AA631:AA632"/>
    <mergeCell ref="AB656:AB657"/>
    <mergeCell ref="AC656:AC657"/>
    <mergeCell ref="AD631:AE632"/>
    <mergeCell ref="AG631:AG632"/>
    <mergeCell ref="AB631:AB632"/>
    <mergeCell ref="AC631:AC632"/>
    <mergeCell ref="AD656:AE657"/>
    <mergeCell ref="AG656:AG657"/>
    <mergeCell ref="AH656:AH657"/>
    <mergeCell ref="AD658:AE658"/>
    <mergeCell ref="Y652:AI652"/>
    <mergeCell ref="Y653:AI653"/>
    <mergeCell ref="Y655:Y659"/>
    <mergeCell ref="Z655:AC655"/>
    <mergeCell ref="AD655:AH655"/>
    <mergeCell ref="AI655:AI657"/>
    <mergeCell ref="Z656:Z657"/>
    <mergeCell ref="AA656:AA657"/>
    <mergeCell ref="AH681:AH682"/>
    <mergeCell ref="AD683:AE683"/>
    <mergeCell ref="Y677:AI677"/>
    <mergeCell ref="Y678:AI678"/>
    <mergeCell ref="Y680:Y684"/>
    <mergeCell ref="Z680:AC680"/>
    <mergeCell ref="AD680:AH680"/>
    <mergeCell ref="AI680:AI682"/>
    <mergeCell ref="Z681:Z682"/>
    <mergeCell ref="AA681:AA682"/>
    <mergeCell ref="AB706:AB707"/>
    <mergeCell ref="AC706:AC707"/>
    <mergeCell ref="AD681:AE682"/>
    <mergeCell ref="AG681:AG682"/>
    <mergeCell ref="AB681:AB682"/>
    <mergeCell ref="AC681:AC682"/>
    <mergeCell ref="AD706:AE707"/>
    <mergeCell ref="AG706:AG707"/>
    <mergeCell ref="AH706:AH707"/>
    <mergeCell ref="AD708:AE708"/>
    <mergeCell ref="Y702:AI702"/>
    <mergeCell ref="Y703:AI703"/>
    <mergeCell ref="Y705:Y709"/>
    <mergeCell ref="Z705:AC705"/>
    <mergeCell ref="AD705:AH705"/>
    <mergeCell ref="AI705:AI707"/>
    <mergeCell ref="Z706:Z707"/>
    <mergeCell ref="AA706:AA707"/>
    <mergeCell ref="A728:K728"/>
    <mergeCell ref="M728:W728"/>
    <mergeCell ref="A729:B729"/>
    <mergeCell ref="M729:N729"/>
    <mergeCell ref="K724:K726"/>
    <mergeCell ref="W724:W726"/>
    <mergeCell ref="A727:K727"/>
    <mergeCell ref="M727:W727"/>
    <mergeCell ref="Y729:Z729"/>
    <mergeCell ref="A730:A734"/>
    <mergeCell ref="B730:E730"/>
    <mergeCell ref="F730:J730"/>
    <mergeCell ref="K730:K732"/>
    <mergeCell ref="M730:M734"/>
    <mergeCell ref="N730:Q730"/>
    <mergeCell ref="R730:V730"/>
    <mergeCell ref="W730:W732"/>
    <mergeCell ref="Y730:Y734"/>
    <mergeCell ref="F733:G733"/>
    <mergeCell ref="R733:S733"/>
    <mergeCell ref="AD733:AE733"/>
    <mergeCell ref="AA731:AA732"/>
    <mergeCell ref="AB731:AB732"/>
    <mergeCell ref="P731:P732"/>
    <mergeCell ref="Q731:Q732"/>
    <mergeCell ref="K767:K770"/>
    <mergeCell ref="K771:K774"/>
    <mergeCell ref="M768:M770"/>
    <mergeCell ref="F734:G734"/>
    <mergeCell ref="R734:S734"/>
    <mergeCell ref="AD734:AE734"/>
    <mergeCell ref="AI730:AI732"/>
    <mergeCell ref="B731:B732"/>
    <mergeCell ref="C731:C732"/>
    <mergeCell ref="D731:D732"/>
    <mergeCell ref="E731:E732"/>
    <mergeCell ref="F731:G732"/>
    <mergeCell ref="I731:I732"/>
    <mergeCell ref="J731:J732"/>
    <mergeCell ref="N731:N732"/>
    <mergeCell ref="O731:O732"/>
    <mergeCell ref="Z730:AC730"/>
    <mergeCell ref="AD730:AH730"/>
    <mergeCell ref="AC731:AC732"/>
    <mergeCell ref="AD731:AE732"/>
    <mergeCell ref="R731:S732"/>
    <mergeCell ref="U731:U732"/>
    <mergeCell ref="V731:V732"/>
    <mergeCell ref="Z731:Z732"/>
    <mergeCell ref="AG731:AG732"/>
    <mergeCell ref="AH731:AH732"/>
  </mergeCells>
  <phoneticPr fontId="20"/>
  <conditionalFormatting sqref="K624 K649 K699 W530 W306 W555 W580 W605 W324 W276 W630 W655 W680 W705 W281 W331 W356 W381 W406 W505 K530 K306 K555 K580 K605 K630 K655 K680 K705 K281 K331 K356 K381 K406 K505 K674 K275 K300 K324:K325 K350 K375 K400 K425 K462 K499 K524 K549 K574 K599 AI530 AI306 AI555 AI580 AI605 AI324 AI276 AI630 AI655 AI680 AI705 AI281 AI331 AI356 AI381 AI406 AI505 W209 W256 W245 K209 K256 K245 K200 K225 K250 AI209 AI256 AI245 W38 W187 W2 W136 W85 W74 K38 K187 K2 K136 K85 K74 K27 K52 K77 K102 K175 AI38 AI187 AI2 AI136 AI85 AI74 K724 W724">
    <cfRule type="cellIs" dxfId="0" priority="1" stopIfTrue="1" operator="equal">
      <formula>"メニュー変更"</formula>
    </cfRule>
  </conditionalFormatting>
  <printOptions horizontalCentered="1"/>
  <pageMargins left="0.78740157480314965" right="0.78740157480314965" top="0.59055118110236227" bottom="0.39370078740157483" header="0.27559055118110237" footer="0.31496062992125984"/>
  <pageSetup paperSize="9" scale="40" orientation="landscape" r:id="rId1"/>
  <headerFooter alignWithMargins="0"/>
  <rowBreaks count="14" manualBreakCount="14">
    <brk id="51" max="22" man="1"/>
    <brk id="101" max="22" man="1"/>
    <brk id="174" max="22" man="1"/>
    <brk id="224" max="22" man="1"/>
    <brk id="274" max="22" man="1"/>
    <brk id="324" max="22" man="1"/>
    <brk id="374" max="22" man="1"/>
    <brk id="424" max="22" man="1"/>
    <brk id="498" max="22" man="1"/>
    <brk id="548" max="22" man="1"/>
    <brk id="598" max="22" man="1"/>
    <brk id="648" max="22" man="1"/>
    <brk id="698" max="22" man="1"/>
    <brk id="723"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view="pageBreakPreview" zoomScale="55" zoomScaleNormal="100" zoomScaleSheetLayoutView="100" workbookViewId="0">
      <pane ySplit="9" topLeftCell="A10" activePane="bottomLeft" state="frozenSplit"/>
      <selection activeCell="H27" sqref="H27"/>
      <selection pane="bottomLeft" activeCell="D16" sqref="D16:D17"/>
    </sheetView>
  </sheetViews>
  <sheetFormatPr defaultRowHeight="21" x14ac:dyDescent="0.15"/>
  <cols>
    <col min="1" max="1" width="7.875" style="14" customWidth="1"/>
    <col min="2" max="2" width="45.25" style="7" customWidth="1"/>
    <col min="3" max="3" width="10.125" style="7" customWidth="1"/>
    <col min="4" max="4" width="16.875" style="14" customWidth="1"/>
    <col min="5" max="5" width="9.625" style="7" customWidth="1"/>
    <col min="6" max="6" width="27.625" style="14" customWidth="1"/>
    <col min="7" max="7" width="19" style="7" customWidth="1"/>
    <col min="8" max="8" width="18.625" style="14" customWidth="1"/>
    <col min="9" max="9" width="16.5" style="14" customWidth="1"/>
    <col min="10" max="11" width="27.625" style="14" customWidth="1"/>
    <col min="12" max="12" width="9" style="14"/>
    <col min="13" max="16" width="18" style="43" customWidth="1"/>
    <col min="17" max="17" width="11" style="14" bestFit="1" customWidth="1"/>
    <col min="18" max="18" width="10.5" style="14" bestFit="1" customWidth="1"/>
    <col min="19" max="19" width="9.5" style="14" bestFit="1" customWidth="1"/>
    <col min="20" max="16384" width="9" style="14"/>
  </cols>
  <sheetData>
    <row r="1" spans="1:19" s="32" customFormat="1" ht="63" customHeight="1" x14ac:dyDescent="0.3">
      <c r="A1" s="866" t="e">
        <f>#REF!</f>
        <v>#REF!</v>
      </c>
      <c r="B1" s="866"/>
      <c r="C1" s="866"/>
      <c r="D1" s="866"/>
      <c r="E1" s="866"/>
      <c r="F1" s="866"/>
      <c r="G1" s="866"/>
      <c r="H1" s="866"/>
      <c r="I1" s="866"/>
      <c r="J1" s="866"/>
      <c r="K1" s="866"/>
      <c r="L1" s="866"/>
      <c r="M1" s="46"/>
      <c r="N1" s="46"/>
      <c r="O1" s="46"/>
      <c r="P1" s="46"/>
    </row>
    <row r="2" spans="1:19" s="32" customFormat="1" ht="42" customHeight="1" x14ac:dyDescent="0.15">
      <c r="A2" s="867" t="e">
        <f>#REF!</f>
        <v>#REF!</v>
      </c>
      <c r="B2" s="867"/>
      <c r="C2" s="867"/>
      <c r="D2" s="867"/>
      <c r="E2" s="867"/>
      <c r="F2" s="867"/>
      <c r="G2" s="867"/>
      <c r="H2" s="867"/>
      <c r="I2" s="867"/>
      <c r="J2" s="867"/>
      <c r="K2" s="867"/>
      <c r="L2" s="867"/>
      <c r="M2" s="45"/>
      <c r="N2" s="45"/>
      <c r="O2" s="45"/>
      <c r="P2" s="45"/>
    </row>
    <row r="3" spans="1:19" ht="26.25" customHeight="1" x14ac:dyDescent="0.15"/>
    <row r="4" spans="1:19" ht="13.5" customHeight="1" thickBot="1" x14ac:dyDescent="0.2"/>
    <row r="5" spans="1:19" ht="17.25" customHeight="1" thickBot="1" x14ac:dyDescent="0.2">
      <c r="A5" s="868" t="s">
        <v>66</v>
      </c>
      <c r="B5" s="844" t="s">
        <v>27</v>
      </c>
      <c r="C5" s="847" t="s">
        <v>24</v>
      </c>
      <c r="D5" s="848"/>
      <c r="E5" s="848"/>
      <c r="F5" s="849"/>
      <c r="G5" s="828" t="s">
        <v>34</v>
      </c>
      <c r="H5" s="855"/>
      <c r="I5" s="855"/>
      <c r="J5" s="829"/>
      <c r="K5" s="853" t="s">
        <v>67</v>
      </c>
    </row>
    <row r="6" spans="1:19" ht="13.5" customHeight="1" x14ac:dyDescent="0.15">
      <c r="A6" s="869"/>
      <c r="B6" s="845"/>
      <c r="C6" s="850" t="s">
        <v>1</v>
      </c>
      <c r="D6" s="850" t="s">
        <v>29</v>
      </c>
      <c r="E6" s="852" t="s">
        <v>25</v>
      </c>
      <c r="F6" s="856" t="s">
        <v>31</v>
      </c>
      <c r="G6" s="856" t="s">
        <v>0</v>
      </c>
      <c r="H6" s="857"/>
      <c r="I6" s="850" t="s">
        <v>49</v>
      </c>
      <c r="J6" s="852" t="s">
        <v>38</v>
      </c>
      <c r="K6" s="854"/>
    </row>
    <row r="7" spans="1:19" ht="15" customHeight="1" x14ac:dyDescent="0.15">
      <c r="A7" s="869"/>
      <c r="B7" s="845"/>
      <c r="C7" s="851"/>
      <c r="D7" s="851"/>
      <c r="E7" s="852"/>
      <c r="F7" s="858"/>
      <c r="G7" s="858"/>
      <c r="H7" s="859"/>
      <c r="I7" s="851"/>
      <c r="J7" s="852"/>
      <c r="K7" s="854"/>
    </row>
    <row r="8" spans="1:19" ht="24" customHeight="1" x14ac:dyDescent="0.15">
      <c r="A8" s="869"/>
      <c r="B8" s="845"/>
      <c r="C8" s="9" t="s">
        <v>50</v>
      </c>
      <c r="D8" s="10" t="s">
        <v>30</v>
      </c>
      <c r="E8" s="9" t="s">
        <v>32</v>
      </c>
      <c r="F8" s="11" t="s">
        <v>40</v>
      </c>
      <c r="G8" s="860" t="s">
        <v>51</v>
      </c>
      <c r="H8" s="861"/>
      <c r="I8" s="12" t="s">
        <v>30</v>
      </c>
      <c r="J8" s="9" t="s">
        <v>40</v>
      </c>
      <c r="K8" s="9" t="s">
        <v>40</v>
      </c>
    </row>
    <row r="9" spans="1:19" ht="19.5" customHeight="1" thickBot="1" x14ac:dyDescent="0.2">
      <c r="A9" s="870"/>
      <c r="B9" s="846"/>
      <c r="C9" s="13" t="s">
        <v>52</v>
      </c>
      <c r="D9" s="13" t="s">
        <v>53</v>
      </c>
      <c r="E9" s="13" t="s">
        <v>54</v>
      </c>
      <c r="F9" s="13" t="s">
        <v>63</v>
      </c>
      <c r="G9" s="862" t="s">
        <v>55</v>
      </c>
      <c r="H9" s="863"/>
      <c r="I9" s="13" t="s">
        <v>56</v>
      </c>
      <c r="J9" s="13" t="s">
        <v>57</v>
      </c>
      <c r="K9" s="66" t="s">
        <v>58</v>
      </c>
    </row>
    <row r="10" spans="1:19" ht="26.25" customHeight="1" x14ac:dyDescent="0.15">
      <c r="A10" s="831">
        <v>1</v>
      </c>
      <c r="B10" s="873" t="e">
        <f>#REF!</f>
        <v>#REF!</v>
      </c>
      <c r="C10" s="872" t="e">
        <f>#REF!</f>
        <v>#REF!</v>
      </c>
      <c r="D10" s="809">
        <f>'(九電)予定金額 (最終)'!C13</f>
        <v>2008.8</v>
      </c>
      <c r="E10" s="820">
        <v>100</v>
      </c>
      <c r="F10" s="821" t="e">
        <f>12*ROUNDDOWN(C10*D10*((185-E10)/100),2)</f>
        <v>#REF!</v>
      </c>
      <c r="G10" s="28" t="s">
        <v>3</v>
      </c>
      <c r="H10" s="42">
        <f>SUM('(九電)予定金額 (最終)'!G19:G21)</f>
        <v>130506</v>
      </c>
      <c r="I10" s="29" t="e">
        <f>#REF!</f>
        <v>#REF!</v>
      </c>
      <c r="J10" s="29" t="e">
        <f t="shared" ref="J10:J39" si="0">ROUNDDOWN(H10*I10,2)</f>
        <v>#REF!</v>
      </c>
      <c r="K10" s="815" t="e">
        <f>ROUNDDOWN(F10+J10+J11,2)</f>
        <v>#REF!</v>
      </c>
    </row>
    <row r="11" spans="1:19" ht="26.25" customHeight="1" x14ac:dyDescent="0.15">
      <c r="A11" s="871"/>
      <c r="B11" s="823"/>
      <c r="C11" s="825"/>
      <c r="D11" s="864"/>
      <c r="E11" s="811"/>
      <c r="F11" s="813"/>
      <c r="G11" s="21" t="s">
        <v>9</v>
      </c>
      <c r="H11" s="39">
        <f>SUM('(九電)予定金額 (最終)'!G13:G18,'(九電)予定金額 (最終)'!G22:G24)</f>
        <v>302926</v>
      </c>
      <c r="I11" s="22" t="e">
        <f>#REF!</f>
        <v>#REF!</v>
      </c>
      <c r="J11" s="23" t="e">
        <f t="shared" si="0"/>
        <v>#REF!</v>
      </c>
      <c r="K11" s="816"/>
      <c r="M11" s="43">
        <f>SUM(H10:H11)</f>
        <v>433432</v>
      </c>
      <c r="N11" s="43" t="e">
        <f>SUM(I10:I11)</f>
        <v>#REF!</v>
      </c>
      <c r="O11" s="43" t="e">
        <f>SUM(J10:J11)</f>
        <v>#REF!</v>
      </c>
    </row>
    <row r="12" spans="1:19" ht="26.25" customHeight="1" x14ac:dyDescent="0.15">
      <c r="A12" s="830">
        <v>2</v>
      </c>
      <c r="B12" s="837" t="e">
        <f>#REF!</f>
        <v>#REF!</v>
      </c>
      <c r="C12" s="875" t="e">
        <f>#REF!</f>
        <v>#REF!</v>
      </c>
      <c r="D12" s="808">
        <f>'(九電)予定金額 (最終)'!C38</f>
        <v>1296</v>
      </c>
      <c r="E12" s="810">
        <v>100</v>
      </c>
      <c r="F12" s="812" t="e">
        <f>12*ROUNDDOWN(C12*D12*((185-E12)/100),2)</f>
        <v>#REF!</v>
      </c>
      <c r="G12" s="71" t="s">
        <v>3</v>
      </c>
      <c r="H12" s="67">
        <f>SUM('(九電)予定金額 (最終)'!G44:G46)</f>
        <v>18026</v>
      </c>
      <c r="I12" s="27">
        <f>'(九電)予定金額 (最終)'!I44</f>
        <v>18.29</v>
      </c>
      <c r="J12" s="25">
        <f t="shared" si="0"/>
        <v>329695.53999999998</v>
      </c>
      <c r="K12" s="815" t="e">
        <f>ROUNDDOWN(F12+J12+J13,2)</f>
        <v>#REF!</v>
      </c>
    </row>
    <row r="13" spans="1:19" ht="26.25" customHeight="1" x14ac:dyDescent="0.15">
      <c r="A13" s="831"/>
      <c r="B13" s="874"/>
      <c r="C13" s="876"/>
      <c r="D13" s="809"/>
      <c r="E13" s="811"/>
      <c r="F13" s="813"/>
      <c r="G13" s="72" t="s">
        <v>9</v>
      </c>
      <c r="H13" s="41">
        <f>SUM('(九電)予定金額 (最終)'!G38:G43,'(九電)予定金額 (最終)'!G47:G49)</f>
        <v>38406</v>
      </c>
      <c r="I13" s="23">
        <f>'(九電)予定金額 (最終)'!I38</f>
        <v>16.87</v>
      </c>
      <c r="J13" s="23">
        <f t="shared" si="0"/>
        <v>647909.22</v>
      </c>
      <c r="K13" s="816"/>
      <c r="M13" s="43">
        <f>SUM(H12:H13)</f>
        <v>56432</v>
      </c>
      <c r="N13" s="43">
        <f>SUM(I12:I12)</f>
        <v>18.29</v>
      </c>
      <c r="O13" s="43">
        <f>SUM(J12:J12)</f>
        <v>329695.53999999998</v>
      </c>
    </row>
    <row r="14" spans="1:19" ht="26.25" customHeight="1" x14ac:dyDescent="0.15">
      <c r="A14" s="831">
        <v>3</v>
      </c>
      <c r="B14" s="822" t="e">
        <f>#REF!</f>
        <v>#REF!</v>
      </c>
      <c r="C14" s="824" t="e">
        <f>#REF!</f>
        <v>#REF!</v>
      </c>
      <c r="D14" s="808">
        <f>'(九電)予定金額 (最終)'!C63</f>
        <v>1296</v>
      </c>
      <c r="E14" s="810">
        <v>100</v>
      </c>
      <c r="F14" s="812" t="e">
        <f>12*ROUNDDOWN(C14*D14*((185-E14)/100),2)</f>
        <v>#REF!</v>
      </c>
      <c r="G14" s="71" t="s">
        <v>3</v>
      </c>
      <c r="H14" s="40">
        <f>SUM('(九電)予定金額 (最終)'!G69:G71)</f>
        <v>50562</v>
      </c>
      <c r="I14" s="27">
        <f>'(九電)予定金額 (最終)'!I69</f>
        <v>18.29</v>
      </c>
      <c r="J14" s="27">
        <f t="shared" si="0"/>
        <v>924778.98</v>
      </c>
      <c r="K14" s="815" t="e">
        <f>ROUNDDOWN(F14+J14+J15,2)</f>
        <v>#REF!</v>
      </c>
    </row>
    <row r="15" spans="1:19" ht="26.25" customHeight="1" thickBot="1" x14ac:dyDescent="0.2">
      <c r="A15" s="871"/>
      <c r="B15" s="823"/>
      <c r="C15" s="825"/>
      <c r="D15" s="809"/>
      <c r="E15" s="811"/>
      <c r="F15" s="813"/>
      <c r="G15" s="72" t="s">
        <v>9</v>
      </c>
      <c r="H15" s="41">
        <f>SUM('(九電)予定金額 (最終)'!G63:G68,'(九電)予定金額 (最終)'!G72:G74)</f>
        <v>104471</v>
      </c>
      <c r="I15" s="23">
        <f>'(九電)予定金額 (最終)'!I63</f>
        <v>16.87</v>
      </c>
      <c r="J15" s="23">
        <f t="shared" si="0"/>
        <v>1762425.77</v>
      </c>
      <c r="K15" s="816"/>
      <c r="M15" s="43">
        <f>SUM(H14:H15)</f>
        <v>155033</v>
      </c>
      <c r="N15" s="43">
        <f>SUM(I14:I15)</f>
        <v>35.159999999999997</v>
      </c>
      <c r="O15" s="43">
        <f>SUM(J14:J15)</f>
        <v>2687204.75</v>
      </c>
    </row>
    <row r="16" spans="1:19" ht="26.25" customHeight="1" thickBot="1" x14ac:dyDescent="0.2">
      <c r="A16" s="871">
        <v>4</v>
      </c>
      <c r="B16" s="822" t="e">
        <f>#REF!</f>
        <v>#REF!</v>
      </c>
      <c r="C16" s="824" t="e">
        <f>#REF!</f>
        <v>#REF!</v>
      </c>
      <c r="D16" s="843">
        <f>'(九電)予定金額 (最終)'!O88</f>
        <v>1296</v>
      </c>
      <c r="E16" s="810">
        <v>100</v>
      </c>
      <c r="F16" s="821" t="e">
        <f>12*ROUNDDOWN(C16*D16*((185-E16)/100),2)</f>
        <v>#REF!</v>
      </c>
      <c r="G16" s="71" t="s">
        <v>3</v>
      </c>
      <c r="H16" s="42">
        <f>SUM('(九電)予定金額 (最終)'!S94:S96)</f>
        <v>11898</v>
      </c>
      <c r="I16" s="27">
        <f>'(九電)予定金額 (最終)'!U94</f>
        <v>18.29</v>
      </c>
      <c r="J16" s="29">
        <f t="shared" si="0"/>
        <v>217614.42</v>
      </c>
      <c r="K16" s="815" t="e">
        <f>ROUNDDOWN(F16+J16+J17,2)</f>
        <v>#REF!</v>
      </c>
      <c r="Q16" s="33">
        <v>56236181</v>
      </c>
      <c r="R16" s="3">
        <f t="shared" ref="R16:R37" si="1">ROUNDUP(Q16*100/108,0)</f>
        <v>52070538</v>
      </c>
      <c r="S16" s="14">
        <f t="shared" ref="S16:S37" si="2">R16*1.08</f>
        <v>56236181.040000007</v>
      </c>
    </row>
    <row r="17" spans="1:19" ht="26.25" customHeight="1" thickBot="1" x14ac:dyDescent="0.2">
      <c r="A17" s="871"/>
      <c r="B17" s="823"/>
      <c r="C17" s="825"/>
      <c r="D17" s="809"/>
      <c r="E17" s="811"/>
      <c r="F17" s="813"/>
      <c r="G17" s="72" t="s">
        <v>9</v>
      </c>
      <c r="H17" s="39">
        <f>SUM('(九電)予定金額 (最終)'!S88:S93,'(九電)予定金額 (最終)'!S97:S99)</f>
        <v>28946</v>
      </c>
      <c r="I17" s="23">
        <f>'(九電)予定金額 (最終)'!U88</f>
        <v>16.87</v>
      </c>
      <c r="J17" s="22">
        <f t="shared" si="0"/>
        <v>488319.02</v>
      </c>
      <c r="K17" s="816"/>
      <c r="M17" s="43">
        <f>SUM(H16:H17)</f>
        <v>40844</v>
      </c>
      <c r="N17" s="43">
        <f>SUM(I16:I17)</f>
        <v>35.159999999999997</v>
      </c>
      <c r="O17" s="43">
        <f>SUM(J16:J17)</f>
        <v>705933.44000000006</v>
      </c>
      <c r="Q17" s="33">
        <v>56236182</v>
      </c>
      <c r="R17" s="3">
        <f t="shared" si="1"/>
        <v>52070539</v>
      </c>
      <c r="S17" s="14">
        <f t="shared" si="2"/>
        <v>56236182.120000005</v>
      </c>
    </row>
    <row r="18" spans="1:19" ht="26.25" customHeight="1" thickBot="1" x14ac:dyDescent="0.2">
      <c r="A18" s="871">
        <v>5</v>
      </c>
      <c r="B18" s="822" t="e">
        <f>#REF!</f>
        <v>#REF!</v>
      </c>
      <c r="C18" s="824" t="e">
        <f>#REF!</f>
        <v>#REF!</v>
      </c>
      <c r="D18" s="843">
        <f>'(九電)予定金額 (最終)'!O113</f>
        <v>2008.8</v>
      </c>
      <c r="E18" s="810">
        <v>100</v>
      </c>
      <c r="F18" s="821" t="e">
        <f>12*ROUNDDOWN(C18*D18*((185-E18)/100),2)</f>
        <v>#REF!</v>
      </c>
      <c r="G18" s="71" t="s">
        <v>3</v>
      </c>
      <c r="H18" s="40">
        <f>SUM('(九電)予定金額 (最終)'!S143:S157)</f>
        <v>302442</v>
      </c>
      <c r="I18" s="27">
        <f>'(九電)予定金額 (最終)'!U143</f>
        <v>12.78</v>
      </c>
      <c r="J18" s="27">
        <f t="shared" si="0"/>
        <v>3865208.76</v>
      </c>
      <c r="K18" s="815" t="e">
        <f>ROUNDDOWN(F18+J18+J19,2)</f>
        <v>#REF!</v>
      </c>
      <c r="Q18" s="33">
        <v>56236181</v>
      </c>
      <c r="R18" s="3">
        <f t="shared" si="1"/>
        <v>52070538</v>
      </c>
      <c r="S18" s="14">
        <f t="shared" si="2"/>
        <v>56236181.040000007</v>
      </c>
    </row>
    <row r="19" spans="1:19" ht="26.25" customHeight="1" thickBot="1" x14ac:dyDescent="0.2">
      <c r="A19" s="871"/>
      <c r="B19" s="823"/>
      <c r="C19" s="825"/>
      <c r="D19" s="809"/>
      <c r="E19" s="811"/>
      <c r="F19" s="813"/>
      <c r="G19" s="72" t="s">
        <v>9</v>
      </c>
      <c r="H19" s="41">
        <f>SUM('(九電)予定金額 (最終)'!S113:S142,'(九電)予定金額 (最終)'!S158:S172)</f>
        <v>739745</v>
      </c>
      <c r="I19" s="23">
        <f>'(九電)予定金額 (最終)'!U113</f>
        <v>11.87</v>
      </c>
      <c r="J19" s="23">
        <f t="shared" si="0"/>
        <v>8780773.1500000004</v>
      </c>
      <c r="K19" s="816"/>
      <c r="M19" s="43">
        <f>SUM(H18:H19)</f>
        <v>1042187</v>
      </c>
      <c r="N19" s="43">
        <f>SUM(I18:I19)</f>
        <v>24.65</v>
      </c>
      <c r="O19" s="43">
        <f>SUM(J18:J19)</f>
        <v>12645981.91</v>
      </c>
      <c r="Q19" s="33">
        <v>56236182</v>
      </c>
      <c r="R19" s="3">
        <f t="shared" si="1"/>
        <v>52070539</v>
      </c>
      <c r="S19" s="14">
        <f t="shared" si="2"/>
        <v>56236182.120000005</v>
      </c>
    </row>
    <row r="20" spans="1:19" ht="26.25" customHeight="1" thickBot="1" x14ac:dyDescent="0.2">
      <c r="A20" s="830">
        <v>6</v>
      </c>
      <c r="B20" s="822" t="e">
        <f>#REF!</f>
        <v>#REF!</v>
      </c>
      <c r="C20" s="824" t="e">
        <f>#REF!</f>
        <v>#REF!</v>
      </c>
      <c r="D20" s="808">
        <f>'(九電)予定金額 (最終)'!C186</f>
        <v>1296</v>
      </c>
      <c r="E20" s="810">
        <v>100</v>
      </c>
      <c r="F20" s="821" t="e">
        <f>12*ROUNDDOWN(C20*D20*((185-E20)/100),2)</f>
        <v>#REF!</v>
      </c>
      <c r="G20" s="71" t="s">
        <v>3</v>
      </c>
      <c r="H20" s="42">
        <f>SUM('(九電)予定金額 (最終)'!G192:G194)</f>
        <v>23760</v>
      </c>
      <c r="I20" s="27" t="e">
        <f>#REF!</f>
        <v>#REF!</v>
      </c>
      <c r="J20" s="27" t="e">
        <f t="shared" si="0"/>
        <v>#REF!</v>
      </c>
      <c r="K20" s="815" t="e">
        <f>ROUNDDOWN(F20+J20+J21,2)</f>
        <v>#REF!</v>
      </c>
      <c r="Q20" s="33"/>
      <c r="R20" s="3"/>
    </row>
    <row r="21" spans="1:19" ht="26.25" customHeight="1" thickBot="1" x14ac:dyDescent="0.2">
      <c r="A21" s="831"/>
      <c r="B21" s="823"/>
      <c r="C21" s="825"/>
      <c r="D21" s="809"/>
      <c r="E21" s="811"/>
      <c r="F21" s="813"/>
      <c r="G21" s="72" t="s">
        <v>9</v>
      </c>
      <c r="H21" s="39">
        <f>SUM('(九電)予定金額 (最終)'!G186:G191,'(九電)予定金額 (最終)'!G195:G197)</f>
        <v>72375</v>
      </c>
      <c r="I21" s="23" t="e">
        <f>#REF!</f>
        <v>#REF!</v>
      </c>
      <c r="J21" s="23" t="e">
        <f t="shared" si="0"/>
        <v>#REF!</v>
      </c>
      <c r="K21" s="816"/>
      <c r="M21" s="43">
        <f>SUM(H20:H21)</f>
        <v>96135</v>
      </c>
      <c r="N21" s="43" t="e">
        <f>SUM(I20:I21)</f>
        <v>#REF!</v>
      </c>
      <c r="O21" s="43" t="e">
        <f>SUM(J20:J21)</f>
        <v>#REF!</v>
      </c>
      <c r="Q21" s="33"/>
      <c r="R21" s="3"/>
    </row>
    <row r="22" spans="1:19" ht="26.25" customHeight="1" thickBot="1" x14ac:dyDescent="0.2">
      <c r="A22" s="831">
        <v>7</v>
      </c>
      <c r="B22" s="822" t="e">
        <f>#REF!</f>
        <v>#REF!</v>
      </c>
      <c r="C22" s="824" t="e">
        <f>#REF!</f>
        <v>#REF!</v>
      </c>
      <c r="D22" s="843">
        <f>'(九電)予定金額 (最終)'!C211</f>
        <v>1296</v>
      </c>
      <c r="E22" s="810">
        <v>100</v>
      </c>
      <c r="F22" s="821" t="e">
        <f>12*ROUNDDOWN(C22*D22*((185-E22)/100),2)</f>
        <v>#REF!</v>
      </c>
      <c r="G22" s="71" t="s">
        <v>3</v>
      </c>
      <c r="H22" s="40">
        <f>SUM('(九電)予定金額 (最終)'!G217:G219)</f>
        <v>18243</v>
      </c>
      <c r="I22" s="27">
        <f>'(九電)予定金額 (最終)'!I217</f>
        <v>18.29</v>
      </c>
      <c r="J22" s="27">
        <f t="shared" ref="J22:J29" si="3">ROUNDDOWN(H22*I22,2)</f>
        <v>333664.46999999997</v>
      </c>
      <c r="K22" s="815" t="e">
        <f>ROUNDDOWN(F22+J22+J23,2)</f>
        <v>#REF!</v>
      </c>
      <c r="Q22" s="33">
        <v>56236181</v>
      </c>
      <c r="R22" s="3">
        <f t="shared" si="1"/>
        <v>52070538</v>
      </c>
      <c r="S22" s="14">
        <f t="shared" si="2"/>
        <v>56236181.040000007</v>
      </c>
    </row>
    <row r="23" spans="1:19" ht="26.25" customHeight="1" thickBot="1" x14ac:dyDescent="0.2">
      <c r="A23" s="871"/>
      <c r="B23" s="823"/>
      <c r="C23" s="825"/>
      <c r="D23" s="809"/>
      <c r="E23" s="811"/>
      <c r="F23" s="813"/>
      <c r="G23" s="72" t="s">
        <v>9</v>
      </c>
      <c r="H23" s="41">
        <f>SUM('(九電)予定金額 (最終)'!G211:G216,'(九電)予定金額 (最終)'!G220:G222)</f>
        <v>55499</v>
      </c>
      <c r="I23" s="23">
        <f>'(九電)予定金額 (最終)'!I211</f>
        <v>16.87</v>
      </c>
      <c r="J23" s="23">
        <f t="shared" si="3"/>
        <v>936268.13</v>
      </c>
      <c r="K23" s="816"/>
      <c r="M23" s="43">
        <f>SUM(H22:H23)</f>
        <v>73742</v>
      </c>
      <c r="N23" s="43">
        <f>SUM(I22:I23)</f>
        <v>35.159999999999997</v>
      </c>
      <c r="O23" s="43">
        <f>SUM(J22:J23)</f>
        <v>1269932.6000000001</v>
      </c>
      <c r="Q23" s="33">
        <v>56236182</v>
      </c>
      <c r="R23" s="3">
        <f t="shared" si="1"/>
        <v>52070539</v>
      </c>
      <c r="S23" s="14">
        <f t="shared" si="2"/>
        <v>56236182.120000005</v>
      </c>
    </row>
    <row r="24" spans="1:19" ht="26.25" customHeight="1" thickBot="1" x14ac:dyDescent="0.2">
      <c r="A24" s="830">
        <v>8</v>
      </c>
      <c r="B24" s="822" t="e">
        <f>#REF!</f>
        <v>#REF!</v>
      </c>
      <c r="C24" s="824" t="e">
        <f>#REF!</f>
        <v>#REF!</v>
      </c>
      <c r="D24" s="808">
        <f>'(九電)予定金額 (最終)'!O236</f>
        <v>2008.8</v>
      </c>
      <c r="E24" s="810">
        <v>100</v>
      </c>
      <c r="F24" s="821" t="e">
        <f>12*ROUNDDOWN(C24*D24*((185-E24)/100),2)</f>
        <v>#REF!</v>
      </c>
      <c r="G24" s="71" t="s">
        <v>3</v>
      </c>
      <c r="H24" s="42">
        <f>SUM('(九電)予定金額 (最終)'!S242:S244)</f>
        <v>26868</v>
      </c>
      <c r="I24" s="27">
        <f>'(九電)予定金額 (最終)'!U242</f>
        <v>12.78</v>
      </c>
      <c r="J24" s="27">
        <f t="shared" si="3"/>
        <v>343373.04</v>
      </c>
      <c r="K24" s="815" t="e">
        <f>ROUNDDOWN(F24+J24+J25,2)</f>
        <v>#REF!</v>
      </c>
      <c r="Q24" s="33"/>
      <c r="R24" s="3"/>
    </row>
    <row r="25" spans="1:19" ht="26.25" customHeight="1" thickBot="1" x14ac:dyDescent="0.2">
      <c r="A25" s="831"/>
      <c r="B25" s="823"/>
      <c r="C25" s="825"/>
      <c r="D25" s="809"/>
      <c r="E25" s="811"/>
      <c r="F25" s="813"/>
      <c r="G25" s="72" t="s">
        <v>9</v>
      </c>
      <c r="H25" s="39">
        <f>SUM('(九電)予定金額 (最終)'!S236:S241,'(九電)予定金額 (最終)'!S245:S247)</f>
        <v>77318</v>
      </c>
      <c r="I25" s="23">
        <f>'(九電)予定金額 (最終)'!U236</f>
        <v>11.87</v>
      </c>
      <c r="J25" s="23">
        <f t="shared" si="3"/>
        <v>917764.66</v>
      </c>
      <c r="K25" s="816"/>
      <c r="M25" s="43">
        <f>SUM(H24:H25)</f>
        <v>104186</v>
      </c>
      <c r="N25" s="43">
        <f>SUM(I24:I25)</f>
        <v>24.65</v>
      </c>
      <c r="O25" s="43">
        <f>SUM(J24:J25)</f>
        <v>1261137.7</v>
      </c>
      <c r="Q25" s="33"/>
      <c r="R25" s="3"/>
    </row>
    <row r="26" spans="1:19" ht="26.25" customHeight="1" thickBot="1" x14ac:dyDescent="0.2">
      <c r="A26" s="831">
        <v>9</v>
      </c>
      <c r="B26" s="822" t="e">
        <f>#REF!</f>
        <v>#REF!</v>
      </c>
      <c r="C26" s="824" t="e">
        <f>#REF!</f>
        <v>#REF!</v>
      </c>
      <c r="D26" s="843">
        <f>'(九電)予定金額 (最終)'!C261</f>
        <v>1296</v>
      </c>
      <c r="E26" s="810">
        <v>100</v>
      </c>
      <c r="F26" s="821" t="e">
        <f>12*ROUNDDOWN(C26*D26*((185-E26)/100),2)</f>
        <v>#REF!</v>
      </c>
      <c r="G26" s="71" t="s">
        <v>3</v>
      </c>
      <c r="H26" s="40">
        <f>SUM('(九電)予定金額 (最終)'!G267:G269)</f>
        <v>33624</v>
      </c>
      <c r="I26" s="27">
        <f>'(九電)予定金額 (最終)'!I267</f>
        <v>18.29</v>
      </c>
      <c r="J26" s="27">
        <f t="shared" si="3"/>
        <v>614982.96</v>
      </c>
      <c r="K26" s="815" t="e">
        <f>ROUNDDOWN(F26+J26+J27,2)</f>
        <v>#REF!</v>
      </c>
      <c r="Q26" s="33">
        <v>56236181</v>
      </c>
      <c r="R26" s="3">
        <f t="shared" si="1"/>
        <v>52070538</v>
      </c>
      <c r="S26" s="14">
        <f t="shared" si="2"/>
        <v>56236181.040000007</v>
      </c>
    </row>
    <row r="27" spans="1:19" ht="26.25" customHeight="1" thickBot="1" x14ac:dyDescent="0.2">
      <c r="A27" s="871"/>
      <c r="B27" s="823"/>
      <c r="C27" s="825"/>
      <c r="D27" s="809"/>
      <c r="E27" s="811"/>
      <c r="F27" s="813"/>
      <c r="G27" s="72" t="s">
        <v>9</v>
      </c>
      <c r="H27" s="41">
        <f>SUM('(九電)予定金額 (最終)'!G261:G266,'(九電)予定金額 (最終)'!G270:G272)</f>
        <v>100843</v>
      </c>
      <c r="I27" s="23">
        <f>'(九電)予定金額 (最終)'!I261</f>
        <v>16.87</v>
      </c>
      <c r="J27" s="23">
        <f t="shared" si="3"/>
        <v>1701221.41</v>
      </c>
      <c r="K27" s="816"/>
      <c r="M27" s="43">
        <f>SUM(H26:H27)</f>
        <v>134467</v>
      </c>
      <c r="N27" s="43">
        <f>SUM(I26:I27)</f>
        <v>35.159999999999997</v>
      </c>
      <c r="O27" s="43">
        <f>SUM(J26:J27)</f>
        <v>2316204.37</v>
      </c>
      <c r="Q27" s="33">
        <v>56236182</v>
      </c>
      <c r="R27" s="3">
        <f t="shared" si="1"/>
        <v>52070539</v>
      </c>
      <c r="S27" s="14">
        <f t="shared" si="2"/>
        <v>56236182.120000005</v>
      </c>
    </row>
    <row r="28" spans="1:19" ht="26.25" customHeight="1" thickBot="1" x14ac:dyDescent="0.2">
      <c r="A28" s="871">
        <v>10</v>
      </c>
      <c r="B28" s="822" t="e">
        <f>#REF!</f>
        <v>#REF!</v>
      </c>
      <c r="C28" s="824" t="e">
        <f>#REF!</f>
        <v>#REF!</v>
      </c>
      <c r="D28" s="808">
        <f>'(九電)予定金額 (最終)'!O286</f>
        <v>1296</v>
      </c>
      <c r="E28" s="810">
        <v>100</v>
      </c>
      <c r="F28" s="821" t="e">
        <f>12*ROUNDDOWN(C28*D28*((185-E28)/100),2)</f>
        <v>#REF!</v>
      </c>
      <c r="G28" s="71" t="s">
        <v>3</v>
      </c>
      <c r="H28" s="42">
        <f>SUM('(九電)予定金額 (最終)'!S292:S294)</f>
        <v>40860</v>
      </c>
      <c r="I28" s="27">
        <f>'(九電)予定金額 (最終)'!U292</f>
        <v>18.29</v>
      </c>
      <c r="J28" s="27">
        <f t="shared" si="3"/>
        <v>747329.4</v>
      </c>
      <c r="K28" s="815" t="e">
        <f>ROUNDDOWN(F28+J28+J29,2)</f>
        <v>#REF!</v>
      </c>
      <c r="Q28" s="33"/>
      <c r="R28" s="3"/>
    </row>
    <row r="29" spans="1:19" ht="26.25" customHeight="1" thickBot="1" x14ac:dyDescent="0.2">
      <c r="A29" s="871"/>
      <c r="B29" s="823"/>
      <c r="C29" s="825"/>
      <c r="D29" s="809"/>
      <c r="E29" s="811"/>
      <c r="F29" s="813"/>
      <c r="G29" s="72" t="s">
        <v>9</v>
      </c>
      <c r="H29" s="39">
        <f>SUM('(九電)予定金額 (最終)'!S286:S291,'(九電)予定金額 (最終)'!S295:S297)</f>
        <v>113458</v>
      </c>
      <c r="I29" s="23">
        <f>'(九電)予定金額 (最終)'!U286</f>
        <v>16.87</v>
      </c>
      <c r="J29" s="23">
        <f t="shared" si="3"/>
        <v>1914036.46</v>
      </c>
      <c r="K29" s="816"/>
      <c r="M29" s="43">
        <f>SUM(H28:H29)</f>
        <v>154318</v>
      </c>
      <c r="N29" s="43">
        <f>SUM(I28:I29)</f>
        <v>35.159999999999997</v>
      </c>
      <c r="O29" s="43">
        <f>SUM(J28:J29)</f>
        <v>2661365.86</v>
      </c>
      <c r="Q29" s="33"/>
      <c r="R29" s="3"/>
    </row>
    <row r="30" spans="1:19" ht="26.25" customHeight="1" thickBot="1" x14ac:dyDescent="0.2">
      <c r="A30" s="871">
        <v>11</v>
      </c>
      <c r="B30" s="822" t="e">
        <f>#REF!</f>
        <v>#REF!</v>
      </c>
      <c r="C30" s="824" t="e">
        <f>#REF!</f>
        <v>#REF!</v>
      </c>
      <c r="D30" s="808">
        <f>'(九電)予定金額 (最終)'!C311</f>
        <v>1296</v>
      </c>
      <c r="E30" s="810">
        <v>100</v>
      </c>
      <c r="F30" s="812" t="e">
        <f>12*ROUNDDOWN(C30*D30*((185-E30)/100),2)</f>
        <v>#REF!</v>
      </c>
      <c r="G30" s="71" t="s">
        <v>3</v>
      </c>
      <c r="H30" s="67">
        <f>SUM('(九電)予定金額 (最終)'!G317:G319)</f>
        <v>18972</v>
      </c>
      <c r="I30" s="25">
        <f>'(九電)予定金額 (最終)'!I317</f>
        <v>18.29</v>
      </c>
      <c r="J30" s="25">
        <f t="shared" si="0"/>
        <v>346997.88</v>
      </c>
      <c r="K30" s="814" t="e">
        <f>ROUNDDOWN(F30+J30+J31,2)</f>
        <v>#REF!</v>
      </c>
      <c r="Q30" s="33">
        <v>56236181</v>
      </c>
      <c r="R30" s="3">
        <f t="shared" si="1"/>
        <v>52070538</v>
      </c>
      <c r="S30" s="14">
        <f t="shared" si="2"/>
        <v>56236181.040000007</v>
      </c>
    </row>
    <row r="31" spans="1:19" ht="26.25" customHeight="1" thickBot="1" x14ac:dyDescent="0.2">
      <c r="A31" s="871"/>
      <c r="B31" s="823"/>
      <c r="C31" s="825"/>
      <c r="D31" s="809"/>
      <c r="E31" s="811"/>
      <c r="F31" s="813"/>
      <c r="G31" s="72" t="s">
        <v>9</v>
      </c>
      <c r="H31" s="69">
        <f>SUM('(九電)予定金額 (最終)'!G311:G316,'(九電)予定金額 (最終)'!G320:G322)</f>
        <v>57726</v>
      </c>
      <c r="I31" s="70">
        <f>'(九電)予定金額 (最終)'!I311</f>
        <v>16.87</v>
      </c>
      <c r="J31" s="70">
        <f t="shared" si="0"/>
        <v>973837.62</v>
      </c>
      <c r="K31" s="815"/>
      <c r="M31" s="43">
        <f>SUM(H30:H31)</f>
        <v>76698</v>
      </c>
      <c r="Q31" s="33"/>
      <c r="R31" s="3"/>
    </row>
    <row r="32" spans="1:19" ht="26.25" customHeight="1" thickBot="1" x14ac:dyDescent="0.2">
      <c r="A32" s="830">
        <v>12</v>
      </c>
      <c r="B32" s="822" t="e">
        <f>#REF!</f>
        <v>#REF!</v>
      </c>
      <c r="C32" s="824" t="e">
        <f>#REF!</f>
        <v>#REF!</v>
      </c>
      <c r="D32" s="808">
        <f>'(九電)予定金額 (最終)'!C336</f>
        <v>1296</v>
      </c>
      <c r="E32" s="810">
        <v>100</v>
      </c>
      <c r="F32" s="817" t="e">
        <f>12*ROUNDDOWN(C32*D32*((185-E32)/100),2)</f>
        <v>#REF!</v>
      </c>
      <c r="G32" s="71" t="s">
        <v>3</v>
      </c>
      <c r="H32" s="40">
        <f>SUM('(九電)予定金額 (最終)'!G342:G344)</f>
        <v>32412</v>
      </c>
      <c r="I32" s="27">
        <f>'(九電)予定金額 (最終)'!I342</f>
        <v>18.29</v>
      </c>
      <c r="J32" s="27">
        <f t="shared" si="0"/>
        <v>592815.48</v>
      </c>
      <c r="K32" s="815" t="e">
        <f>ROUNDDOWN(F32+J32+J33,2)</f>
        <v>#REF!</v>
      </c>
      <c r="Q32" s="33"/>
      <c r="R32" s="3"/>
    </row>
    <row r="33" spans="1:19" ht="26.25" customHeight="1" thickBot="1" x14ac:dyDescent="0.2">
      <c r="A33" s="831"/>
      <c r="B33" s="823"/>
      <c r="C33" s="825"/>
      <c r="D33" s="809"/>
      <c r="E33" s="811"/>
      <c r="F33" s="818"/>
      <c r="G33" s="72" t="s">
        <v>9</v>
      </c>
      <c r="H33" s="41">
        <f>SUM('(九電)予定金額 (最終)'!G336:G341,'(九電)予定金額 (最終)'!G345:G347)</f>
        <v>93714</v>
      </c>
      <c r="I33" s="23">
        <f>'(九電)予定金額 (最終)'!I336</f>
        <v>16.87</v>
      </c>
      <c r="J33" s="23">
        <f t="shared" si="0"/>
        <v>1580955.18</v>
      </c>
      <c r="K33" s="816"/>
      <c r="M33" s="43">
        <f>SUM(H32:H33)</f>
        <v>126126</v>
      </c>
      <c r="N33" s="43">
        <f>SUM(I32:I33)</f>
        <v>35.159999999999997</v>
      </c>
      <c r="O33" s="43">
        <f>SUM(J32:J33)</f>
        <v>2173770.66</v>
      </c>
      <c r="Q33" s="33"/>
      <c r="R33" s="3"/>
    </row>
    <row r="34" spans="1:19" ht="26.25" customHeight="1" thickBot="1" x14ac:dyDescent="0.2">
      <c r="A34" s="831">
        <v>13</v>
      </c>
      <c r="B34" s="822" t="e">
        <f>#REF!</f>
        <v>#REF!</v>
      </c>
      <c r="C34" s="824" t="e">
        <f>#REF!</f>
        <v>#REF!</v>
      </c>
      <c r="D34" s="808">
        <f>'(九電)予定金額 (最終)'!C361</f>
        <v>1296</v>
      </c>
      <c r="E34" s="810">
        <v>100</v>
      </c>
      <c r="F34" s="817" t="e">
        <f>12*ROUNDDOWN(C34*D34*((185-E34)/100),2)</f>
        <v>#REF!</v>
      </c>
      <c r="G34" s="71" t="s">
        <v>3</v>
      </c>
      <c r="H34" s="40">
        <f>SUM('(九電)予定金額 (最終)'!G367:G369)</f>
        <v>19655</v>
      </c>
      <c r="I34" s="27">
        <f>'(九電)予定金額 (最終)'!I367</f>
        <v>18.29</v>
      </c>
      <c r="J34" s="27">
        <f t="shared" si="0"/>
        <v>359489.95</v>
      </c>
      <c r="K34" s="815" t="e">
        <f>ROUNDDOWN(F34+J34+J35,2)</f>
        <v>#REF!</v>
      </c>
      <c r="Q34" s="33"/>
      <c r="R34" s="3"/>
    </row>
    <row r="35" spans="1:19" ht="26.25" customHeight="1" thickBot="1" x14ac:dyDescent="0.2">
      <c r="A35" s="871"/>
      <c r="B35" s="823"/>
      <c r="C35" s="825"/>
      <c r="D35" s="809"/>
      <c r="E35" s="811"/>
      <c r="F35" s="818"/>
      <c r="G35" s="72" t="s">
        <v>9</v>
      </c>
      <c r="H35" s="41">
        <f>SUM('(九電)予定金額 (最終)'!G361:G366,'(九電)予定金額 (最終)'!G370:G372)</f>
        <v>56957</v>
      </c>
      <c r="I35" s="23">
        <f>'(九電)予定金額 (最終)'!I361</f>
        <v>16.87</v>
      </c>
      <c r="J35" s="23">
        <f t="shared" si="0"/>
        <v>960864.59</v>
      </c>
      <c r="K35" s="816"/>
      <c r="M35" s="43">
        <f>SUM(H34:H35)</f>
        <v>76612</v>
      </c>
      <c r="N35" s="43">
        <f>SUM(I34:I35)</f>
        <v>35.159999999999997</v>
      </c>
      <c r="O35" s="43">
        <f>SUM(J34:J35)</f>
        <v>1320354.54</v>
      </c>
      <c r="Q35" s="33"/>
      <c r="R35" s="3"/>
    </row>
    <row r="36" spans="1:19" ht="26.25" customHeight="1" thickBot="1" x14ac:dyDescent="0.2">
      <c r="A36" s="871">
        <v>14</v>
      </c>
      <c r="B36" s="822" t="e">
        <f>#REF!</f>
        <v>#REF!</v>
      </c>
      <c r="C36" s="824" t="e">
        <f>#REF!</f>
        <v>#REF!</v>
      </c>
      <c r="D36" s="808">
        <f>'(九電)予定金額 (最終)'!O386</f>
        <v>2008.8</v>
      </c>
      <c r="E36" s="810">
        <v>100</v>
      </c>
      <c r="F36" s="817" t="e">
        <f>12*ROUNDDOWN(C36*D36*((185-E36)/100),2)</f>
        <v>#REF!</v>
      </c>
      <c r="G36" s="71" t="s">
        <v>3</v>
      </c>
      <c r="H36" s="40">
        <f>SUM('(九電)予定金額 (最終)'!S392:S394)</f>
        <v>25360</v>
      </c>
      <c r="I36" s="27">
        <f>'(九電)予定金額 (最終)'!U392</f>
        <v>12.78</v>
      </c>
      <c r="J36" s="27">
        <f t="shared" si="0"/>
        <v>324100.8</v>
      </c>
      <c r="K36" s="815" t="e">
        <f>ROUNDDOWN(F36+J36+J37,2)</f>
        <v>#REF!</v>
      </c>
      <c r="Q36" s="33">
        <v>56236181</v>
      </c>
      <c r="R36" s="3">
        <f t="shared" si="1"/>
        <v>52070538</v>
      </c>
      <c r="S36" s="14">
        <f t="shared" si="2"/>
        <v>56236181.040000007</v>
      </c>
    </row>
    <row r="37" spans="1:19" ht="26.25" customHeight="1" thickBot="1" x14ac:dyDescent="0.2">
      <c r="A37" s="871"/>
      <c r="B37" s="823"/>
      <c r="C37" s="825"/>
      <c r="D37" s="809"/>
      <c r="E37" s="811"/>
      <c r="F37" s="818"/>
      <c r="G37" s="72" t="s">
        <v>9</v>
      </c>
      <c r="H37" s="41">
        <f>SUM('(九電)予定金額 (最終)'!S386:S391,'(九電)予定金額 (最終)'!S395:S397)</f>
        <v>87207</v>
      </c>
      <c r="I37" s="23">
        <f>'(九電)予定金額 (最終)'!U386</f>
        <v>11.87</v>
      </c>
      <c r="J37" s="23">
        <f t="shared" si="0"/>
        <v>1035147.09</v>
      </c>
      <c r="K37" s="816"/>
      <c r="M37" s="43">
        <f>SUM(H36:H37)</f>
        <v>112567</v>
      </c>
      <c r="N37" s="43">
        <f>SUM(I36:I37)</f>
        <v>24.65</v>
      </c>
      <c r="O37" s="43">
        <f>SUM(J36:J37)</f>
        <v>1359247.89</v>
      </c>
      <c r="Q37" s="33">
        <v>56236182</v>
      </c>
      <c r="R37" s="3">
        <f t="shared" si="1"/>
        <v>52070539</v>
      </c>
      <c r="S37" s="14">
        <f t="shared" si="2"/>
        <v>56236182.120000005</v>
      </c>
    </row>
    <row r="38" spans="1:19" ht="26.25" customHeight="1" x14ac:dyDescent="0.15">
      <c r="A38" s="871">
        <v>15</v>
      </c>
      <c r="B38" s="822" t="e">
        <f>#REF!</f>
        <v>#REF!</v>
      </c>
      <c r="C38" s="824" t="e">
        <f>#REF!</f>
        <v>#REF!</v>
      </c>
      <c r="D38" s="808">
        <f>'(九電)予定金額 (最終)'!O411</f>
        <v>1296</v>
      </c>
      <c r="E38" s="810">
        <v>100</v>
      </c>
      <c r="F38" s="817" t="e">
        <f>12*ROUNDDOWN(C38*D38*((185-E38)/100),2)</f>
        <v>#REF!</v>
      </c>
      <c r="G38" s="71" t="s">
        <v>3</v>
      </c>
      <c r="H38" s="40">
        <f>SUM('(九電)予定金額 (最終)'!S417:S419)</f>
        <v>59868</v>
      </c>
      <c r="I38" s="27">
        <f>'(九電)予定金額 (最終)'!U417</f>
        <v>18.29</v>
      </c>
      <c r="J38" s="27">
        <f t="shared" si="0"/>
        <v>1094985.72</v>
      </c>
      <c r="K38" s="815" t="e">
        <f>ROUNDDOWN(F38+J38+J39,2)</f>
        <v>#REF!</v>
      </c>
      <c r="Q38" s="33"/>
      <c r="R38" s="60"/>
    </row>
    <row r="39" spans="1:19" ht="26.25" customHeight="1" x14ac:dyDescent="0.15">
      <c r="A39" s="871"/>
      <c r="B39" s="823"/>
      <c r="C39" s="825"/>
      <c r="D39" s="809"/>
      <c r="E39" s="811"/>
      <c r="F39" s="818"/>
      <c r="G39" s="72" t="s">
        <v>9</v>
      </c>
      <c r="H39" s="41">
        <f>SUM('(九電)予定金額 (最終)'!S411:S416,'(九電)予定金額 (最終)'!S420:S422)</f>
        <v>158178</v>
      </c>
      <c r="I39" s="23">
        <f>'(九電)予定金額 (最終)'!U411</f>
        <v>16.87</v>
      </c>
      <c r="J39" s="23">
        <f t="shared" si="0"/>
        <v>2668462.86</v>
      </c>
      <c r="K39" s="816"/>
      <c r="M39" s="43">
        <f>SUM(H38:H39)</f>
        <v>218046</v>
      </c>
      <c r="Q39" s="33"/>
      <c r="R39" s="60"/>
    </row>
    <row r="40" spans="1:19" ht="26.25" customHeight="1" x14ac:dyDescent="0.15">
      <c r="A40" s="830">
        <v>16</v>
      </c>
      <c r="B40" s="837" t="e">
        <f>#REF!</f>
        <v>#REF!</v>
      </c>
      <c r="C40" s="875" t="e">
        <f>#REF!</f>
        <v>#REF!</v>
      </c>
      <c r="D40" s="808">
        <f>'(九電)予定金額 (最終)'!C436</f>
        <v>2008.8</v>
      </c>
      <c r="E40" s="810">
        <v>100</v>
      </c>
      <c r="F40" s="812" t="e">
        <f>12*ROUNDDOWN(C40*D40*((185-E40)/100),2)</f>
        <v>#REF!</v>
      </c>
      <c r="G40" s="24" t="s">
        <v>7</v>
      </c>
      <c r="H40" s="67">
        <f>SUM('(九電)予定金額 (最終)'!G448,'(九電)予定金額 (最終)'!G450,'(九電)予定金額 (最終)'!G452)</f>
        <v>82986</v>
      </c>
      <c r="I40" s="25">
        <f>'(九電)予定金額 (最終)'!I448</f>
        <v>13.88</v>
      </c>
      <c r="J40" s="25">
        <f t="shared" ref="J40:J49" si="4">ROUNDDOWN(H40*I40,2)</f>
        <v>1151845.68</v>
      </c>
      <c r="K40" s="814" t="e">
        <f>ROUNDDOWN(F40+J40+J41+J42+J43,2)</f>
        <v>#REF!</v>
      </c>
      <c r="Q40" s="33"/>
      <c r="R40" s="60"/>
    </row>
    <row r="41" spans="1:19" ht="26.25" customHeight="1" x14ac:dyDescent="0.15">
      <c r="A41" s="836"/>
      <c r="B41" s="838"/>
      <c r="C41" s="877"/>
      <c r="D41" s="843"/>
      <c r="E41" s="820"/>
      <c r="F41" s="821"/>
      <c r="G41" s="68" t="s">
        <v>8</v>
      </c>
      <c r="H41" s="69">
        <f>SUM('(九電)予定金額 (最終)'!G449,'(九電)予定金額 (最終)'!G451,'(九電)予定金額 (最終)'!G453)</f>
        <v>40494</v>
      </c>
      <c r="I41" s="70">
        <f>'(九電)予定金額 (最終)'!I449</f>
        <v>10.130000000000001</v>
      </c>
      <c r="J41" s="70">
        <f t="shared" si="4"/>
        <v>410204.22</v>
      </c>
      <c r="K41" s="819"/>
      <c r="Q41" s="33"/>
      <c r="R41" s="60"/>
    </row>
    <row r="42" spans="1:19" ht="26.25" customHeight="1" x14ac:dyDescent="0.15">
      <c r="A42" s="836"/>
      <c r="B42" s="838"/>
      <c r="C42" s="877"/>
      <c r="D42" s="843"/>
      <c r="E42" s="820"/>
      <c r="F42" s="821"/>
      <c r="G42" s="68" t="s">
        <v>5</v>
      </c>
      <c r="H42" s="69">
        <f>SUM('(九電)予定金額 (最終)'!G436,'(九電)予定金額 (最終)'!G438,'(九電)予定金額 (最終)'!G440,'(九電)予定金額 (最終)'!G442,'(九電)予定金額 (最終)'!G444,'(九電)予定金額 (最終)'!G446,'(九電)予定金額 (最終)'!G454,'(九電)予定金額 (最終)'!G456,'(九電)予定金額 (最終)'!G458)</f>
        <v>152277</v>
      </c>
      <c r="I42" s="70">
        <f>'(九電)予定金額 (最終)'!I436</f>
        <v>12.88</v>
      </c>
      <c r="J42" s="70">
        <f t="shared" si="4"/>
        <v>1961327.76</v>
      </c>
      <c r="K42" s="819"/>
      <c r="Q42" s="33"/>
      <c r="R42" s="60"/>
    </row>
    <row r="43" spans="1:19" ht="26.25" customHeight="1" x14ac:dyDescent="0.15">
      <c r="A43" s="831"/>
      <c r="B43" s="874"/>
      <c r="C43" s="876"/>
      <c r="D43" s="809"/>
      <c r="E43" s="811"/>
      <c r="F43" s="813"/>
      <c r="G43" s="30" t="s">
        <v>6</v>
      </c>
      <c r="H43" s="41">
        <f>SUM('(九電)予定金額 (最終)'!G437,'(九電)予定金額 (最終)'!G439,'(九電)予定金額 (最終)'!G441,'(九電)予定金額 (最終)'!G443,'(九電)予定金額 (最終)'!G445,'(九電)予定金額 (最終)'!G447,'(九電)予定金額 (最終)'!G455,'(九電)予定金額 (最終)'!G457,'(九電)予定金額 (最終)'!G459)</f>
        <v>70640</v>
      </c>
      <c r="I43" s="23">
        <f>'(九電)予定金額 (最終)'!I437</f>
        <v>9.4600000000000009</v>
      </c>
      <c r="J43" s="23">
        <f t="shared" si="4"/>
        <v>668254.4</v>
      </c>
      <c r="K43" s="815"/>
      <c r="M43" s="43">
        <f>SUM(H40:H43)</f>
        <v>346397</v>
      </c>
      <c r="Q43" s="33"/>
      <c r="R43" s="60"/>
    </row>
    <row r="44" spans="1:19" ht="26.25" customHeight="1" x14ac:dyDescent="0.15">
      <c r="A44" s="878">
        <v>17</v>
      </c>
      <c r="B44" s="837" t="e">
        <f>#REF!</f>
        <v>#REF!</v>
      </c>
      <c r="C44" s="875" t="e">
        <f>#REF!</f>
        <v>#REF!</v>
      </c>
      <c r="D44" s="808">
        <f>'(九電)予定金額 (最終)'!C473</f>
        <v>1296</v>
      </c>
      <c r="E44" s="810">
        <v>100</v>
      </c>
      <c r="F44" s="812" t="e">
        <f>12*ROUNDDOWN(C44*D44*((185-E44)/100),2)</f>
        <v>#REF!</v>
      </c>
      <c r="G44" s="24" t="s">
        <v>7</v>
      </c>
      <c r="H44" s="67">
        <f>SUM('(九電)予定金額 (最終)'!G485,'(九電)予定金額 (最終)'!G487,'(九電)予定金額 (最終)'!G489)</f>
        <v>72882</v>
      </c>
      <c r="I44" s="25">
        <f>'(九電)予定金額 (最終)'!I485</f>
        <v>20.65</v>
      </c>
      <c r="J44" s="25">
        <f t="shared" si="4"/>
        <v>1505013.3</v>
      </c>
      <c r="K44" s="814" t="e">
        <f>ROUNDDOWN(F44+J44+J45+J46+J47,2)</f>
        <v>#REF!</v>
      </c>
      <c r="Q44" s="33"/>
      <c r="R44" s="60"/>
    </row>
    <row r="45" spans="1:19" ht="26.25" customHeight="1" x14ac:dyDescent="0.15">
      <c r="A45" s="879"/>
      <c r="B45" s="838"/>
      <c r="C45" s="877"/>
      <c r="D45" s="843"/>
      <c r="E45" s="820"/>
      <c r="F45" s="821"/>
      <c r="G45" s="68" t="s">
        <v>8</v>
      </c>
      <c r="H45" s="69">
        <f>SUM('(九電)予定金額 (最終)'!G486,'(九電)予定金額 (最終)'!G488,'(九電)予定金額 (最終)'!G490)</f>
        <v>48180</v>
      </c>
      <c r="I45" s="26">
        <f>'(九電)予定金額 (最終)'!I486</f>
        <v>12.67</v>
      </c>
      <c r="J45" s="70">
        <f t="shared" si="4"/>
        <v>610440.6</v>
      </c>
      <c r="K45" s="819"/>
      <c r="Q45" s="33"/>
      <c r="R45" s="60"/>
    </row>
    <row r="46" spans="1:19" ht="26.25" customHeight="1" x14ac:dyDescent="0.15">
      <c r="A46" s="879"/>
      <c r="B46" s="838"/>
      <c r="C46" s="877"/>
      <c r="D46" s="843"/>
      <c r="E46" s="820"/>
      <c r="F46" s="821"/>
      <c r="G46" s="68" t="s">
        <v>5</v>
      </c>
      <c r="H46" s="69">
        <f>SUM('(九電)予定金額 (最終)'!G473,'(九電)予定金額 (最終)'!G475,'(九電)予定金額 (最終)'!G477,'(九電)予定金額 (最終)'!G479,'(九電)予定金額 (最終)'!G481,'(九電)予定金額 (最終)'!G483,'(九電)予定金額 (最終)'!G491,'(九電)予定金額 (最終)'!G493,'(九電)予定金額 (最終)'!G495)</f>
        <v>144248</v>
      </c>
      <c r="I46" s="70">
        <f>'(九電)予定金額 (最終)'!I473</f>
        <v>19.02</v>
      </c>
      <c r="J46" s="70">
        <f t="shared" si="4"/>
        <v>2743596.96</v>
      </c>
      <c r="K46" s="819"/>
      <c r="Q46" s="33"/>
      <c r="R46" s="60"/>
    </row>
    <row r="47" spans="1:19" ht="26.25" customHeight="1" x14ac:dyDescent="0.15">
      <c r="A47" s="880"/>
      <c r="B47" s="874"/>
      <c r="C47" s="876"/>
      <c r="D47" s="809"/>
      <c r="E47" s="811"/>
      <c r="F47" s="813"/>
      <c r="G47" s="30" t="s">
        <v>6</v>
      </c>
      <c r="H47" s="41">
        <f>SUM('(九電)予定金額 (最終)'!G474,'(九電)予定金額 (最終)'!G476,'(九電)予定金額 (最終)'!G478,'(九電)予定金額 (最終)'!G480,'(九電)予定金額 (最終)'!G482,'(九電)予定金額 (最終)'!G484,'(九電)予定金額 (最終)'!G492,'(九電)予定金額 (最終)'!G494,'(九電)予定金額 (最終)'!G496)</f>
        <v>91552</v>
      </c>
      <c r="I47" s="70">
        <f>'(九電)予定金額 (最終)'!I474</f>
        <v>11.75</v>
      </c>
      <c r="J47" s="23">
        <f t="shared" si="4"/>
        <v>1075736</v>
      </c>
      <c r="K47" s="815"/>
      <c r="M47" s="43">
        <f>SUM(H44:H47)</f>
        <v>356862</v>
      </c>
      <c r="Q47" s="33"/>
      <c r="R47" s="60"/>
    </row>
    <row r="48" spans="1:19" ht="26.25" customHeight="1" x14ac:dyDescent="0.15">
      <c r="A48" s="830">
        <v>18</v>
      </c>
      <c r="B48" s="822" t="e">
        <f>#REF!</f>
        <v>#REF!</v>
      </c>
      <c r="C48" s="824" t="e">
        <f>#REF!</f>
        <v>#REF!</v>
      </c>
      <c r="D48" s="808">
        <f>'(九電)予定金額 (最終)'!C510</f>
        <v>1296</v>
      </c>
      <c r="E48" s="810">
        <v>100</v>
      </c>
      <c r="F48" s="812" t="e">
        <f>12*ROUNDDOWN(C48*D48*((185-E48)/100),2)</f>
        <v>#REF!</v>
      </c>
      <c r="G48" s="71" t="s">
        <v>3</v>
      </c>
      <c r="H48" s="67">
        <f>SUM('(九電)予定金額 (最終)'!G516:G518)</f>
        <v>8146</v>
      </c>
      <c r="I48" s="25">
        <f>'(九電)予定金額 (最終)'!I516</f>
        <v>18.29</v>
      </c>
      <c r="J48" s="25">
        <f t="shared" si="4"/>
        <v>148990.34</v>
      </c>
      <c r="K48" s="814" t="e">
        <f>ROUNDDOWN(F48+J48+J49,2)</f>
        <v>#REF!</v>
      </c>
      <c r="Q48" s="33"/>
      <c r="R48" s="60"/>
    </row>
    <row r="49" spans="1:18" ht="26.25" customHeight="1" x14ac:dyDescent="0.15">
      <c r="A49" s="831"/>
      <c r="B49" s="823"/>
      <c r="C49" s="825"/>
      <c r="D49" s="809"/>
      <c r="E49" s="811"/>
      <c r="F49" s="813"/>
      <c r="G49" s="72" t="s">
        <v>9</v>
      </c>
      <c r="H49" s="41">
        <f>SUM('(九電)予定金額 (最終)'!G510:G515,'(九電)予定金額 (最終)'!G519:G521)</f>
        <v>17250</v>
      </c>
      <c r="I49" s="23">
        <f>'(九電)予定金額 (最終)'!I510</f>
        <v>16.87</v>
      </c>
      <c r="J49" s="23">
        <f t="shared" si="4"/>
        <v>291007.5</v>
      </c>
      <c r="K49" s="815"/>
      <c r="M49" s="43">
        <f>SUM(H48:H49)</f>
        <v>25396</v>
      </c>
      <c r="Q49" s="33"/>
      <c r="R49" s="60"/>
    </row>
    <row r="50" spans="1:18" ht="26.25" customHeight="1" x14ac:dyDescent="0.15">
      <c r="A50" s="830">
        <v>19</v>
      </c>
      <c r="B50" s="822" t="e">
        <f>#REF!</f>
        <v>#REF!</v>
      </c>
      <c r="C50" s="824" t="e">
        <f>#REF!</f>
        <v>#REF!</v>
      </c>
      <c r="D50" s="808">
        <f>'(九電)予定金額 (最終)'!C535</f>
        <v>1296</v>
      </c>
      <c r="E50" s="810">
        <v>100</v>
      </c>
      <c r="F50" s="812" t="e">
        <f>12*ROUNDDOWN(C50*D50*((185-E50)/100),2)</f>
        <v>#REF!</v>
      </c>
      <c r="G50" s="71" t="s">
        <v>3</v>
      </c>
      <c r="H50" s="67">
        <f>SUM('(九電)予定金額 (最終)'!G541:G543)</f>
        <v>9072</v>
      </c>
      <c r="I50" s="25">
        <f>'(九電)予定金額 (最終)'!I541</f>
        <v>18.29</v>
      </c>
      <c r="J50" s="25">
        <f t="shared" ref="J50:J59" si="5">ROUNDDOWN(H50*I50,2)</f>
        <v>165926.88</v>
      </c>
      <c r="K50" s="814" t="e">
        <f>ROUNDDOWN(F50+J50+J51,2)</f>
        <v>#REF!</v>
      </c>
      <c r="Q50" s="33"/>
      <c r="R50" s="60"/>
    </row>
    <row r="51" spans="1:18" ht="26.25" customHeight="1" x14ac:dyDescent="0.15">
      <c r="A51" s="831"/>
      <c r="B51" s="823"/>
      <c r="C51" s="825"/>
      <c r="D51" s="809"/>
      <c r="E51" s="811"/>
      <c r="F51" s="813"/>
      <c r="G51" s="72" t="s">
        <v>9</v>
      </c>
      <c r="H51" s="41">
        <f>SUM('(九電)予定金額 (最終)'!G535:G540,'(九電)予定金額 (最終)'!G544:G546)</f>
        <v>20137</v>
      </c>
      <c r="I51" s="23">
        <f>'(九電)予定金額 (最終)'!I535</f>
        <v>16.87</v>
      </c>
      <c r="J51" s="23">
        <f t="shared" si="5"/>
        <v>339711.19</v>
      </c>
      <c r="K51" s="815"/>
      <c r="M51" s="43">
        <f>SUM(H50:H51)</f>
        <v>29209</v>
      </c>
      <c r="Q51" s="33"/>
      <c r="R51" s="60"/>
    </row>
    <row r="52" spans="1:18" ht="26.25" customHeight="1" x14ac:dyDescent="0.15">
      <c r="A52" s="830">
        <v>20</v>
      </c>
      <c r="B52" s="822" t="e">
        <f>#REF!</f>
        <v>#REF!</v>
      </c>
      <c r="C52" s="824" t="e">
        <f>#REF!</f>
        <v>#REF!</v>
      </c>
      <c r="D52" s="808">
        <f>'(九電)予定金額 (最終)'!C560</f>
        <v>1296</v>
      </c>
      <c r="E52" s="810">
        <v>100</v>
      </c>
      <c r="F52" s="812" t="e">
        <f>12*ROUNDDOWN(C52*D52*((185-E52)/100),2)</f>
        <v>#REF!</v>
      </c>
      <c r="G52" s="71" t="s">
        <v>3</v>
      </c>
      <c r="H52" s="67">
        <f>SUM('(九電)予定金額 (最終)'!G566:G568)</f>
        <v>12036</v>
      </c>
      <c r="I52" s="25">
        <f>'(九電)予定金額 (最終)'!I566</f>
        <v>18.29</v>
      </c>
      <c r="J52" s="25">
        <f t="shared" si="5"/>
        <v>220138.44</v>
      </c>
      <c r="K52" s="814" t="e">
        <f>ROUNDDOWN(F52+J52+J53,2)</f>
        <v>#REF!</v>
      </c>
      <c r="Q52" s="33"/>
      <c r="R52" s="60"/>
    </row>
    <row r="53" spans="1:18" ht="26.25" customHeight="1" x14ac:dyDescent="0.15">
      <c r="A53" s="831"/>
      <c r="B53" s="823"/>
      <c r="C53" s="825"/>
      <c r="D53" s="809"/>
      <c r="E53" s="811"/>
      <c r="F53" s="813"/>
      <c r="G53" s="72" t="s">
        <v>9</v>
      </c>
      <c r="H53" s="41">
        <f>SUM('(九電)予定金額 (最終)'!G560:G565,'(九電)予定金額 (最終)'!G569:G571)</f>
        <v>26952</v>
      </c>
      <c r="I53" s="23">
        <f>'(九電)予定金額 (最終)'!I560</f>
        <v>16.87</v>
      </c>
      <c r="J53" s="23">
        <f t="shared" si="5"/>
        <v>454680.24</v>
      </c>
      <c r="K53" s="815"/>
      <c r="M53" s="43">
        <f>SUM(H52:H53)</f>
        <v>38988</v>
      </c>
      <c r="Q53" s="33"/>
      <c r="R53" s="60"/>
    </row>
    <row r="54" spans="1:18" ht="26.25" customHeight="1" x14ac:dyDescent="0.15">
      <c r="A54" s="830">
        <v>21</v>
      </c>
      <c r="B54" s="822" t="e">
        <f>#REF!</f>
        <v>#REF!</v>
      </c>
      <c r="C54" s="824" t="e">
        <f>#REF!</f>
        <v>#REF!</v>
      </c>
      <c r="D54" s="808">
        <f>'(九電)予定金額 (最終)'!C585</f>
        <v>1296</v>
      </c>
      <c r="E54" s="810">
        <v>100</v>
      </c>
      <c r="F54" s="812" t="e">
        <f>12*ROUNDDOWN(C54*D54*((185-E54)/100),2)</f>
        <v>#REF!</v>
      </c>
      <c r="G54" s="71" t="s">
        <v>3</v>
      </c>
      <c r="H54" s="67">
        <f>SUM('(九電)予定金額 (最終)'!G591:G593)</f>
        <v>33942</v>
      </c>
      <c r="I54" s="25">
        <f>'(九電)予定金額 (最終)'!I591</f>
        <v>18.29</v>
      </c>
      <c r="J54" s="25">
        <f t="shared" si="5"/>
        <v>620799.18000000005</v>
      </c>
      <c r="K54" s="814" t="e">
        <f>ROUNDDOWN(F54+J54+J55,2)</f>
        <v>#REF!</v>
      </c>
      <c r="Q54" s="33"/>
      <c r="R54" s="60"/>
    </row>
    <row r="55" spans="1:18" ht="26.25" customHeight="1" x14ac:dyDescent="0.15">
      <c r="A55" s="831"/>
      <c r="B55" s="823"/>
      <c r="C55" s="825"/>
      <c r="D55" s="809"/>
      <c r="E55" s="811"/>
      <c r="F55" s="813"/>
      <c r="G55" s="72" t="s">
        <v>9</v>
      </c>
      <c r="H55" s="41">
        <f>SUM('(九電)予定金額 (最終)'!G585:G590,'(九電)予定金額 (最終)'!G594:G596)</f>
        <v>61607</v>
      </c>
      <c r="I55" s="23">
        <f>'(九電)予定金額 (最終)'!I585</f>
        <v>16.87</v>
      </c>
      <c r="J55" s="23">
        <f t="shared" si="5"/>
        <v>1039310.09</v>
      </c>
      <c r="K55" s="815"/>
      <c r="M55" s="43">
        <f>SUM(H54:H55)</f>
        <v>95549</v>
      </c>
      <c r="Q55" s="33"/>
      <c r="R55" s="60"/>
    </row>
    <row r="56" spans="1:18" ht="26.25" customHeight="1" x14ac:dyDescent="0.15">
      <c r="A56" s="830">
        <v>22</v>
      </c>
      <c r="B56" s="822" t="e">
        <f>#REF!</f>
        <v>#REF!</v>
      </c>
      <c r="C56" s="824" t="e">
        <f>#REF!</f>
        <v>#REF!</v>
      </c>
      <c r="D56" s="808">
        <f>'(九電)予定金額 (最終)'!C610</f>
        <v>1296</v>
      </c>
      <c r="E56" s="810">
        <v>100</v>
      </c>
      <c r="F56" s="812" t="e">
        <f>12*ROUNDDOWN(C56*D56*((185-E56)/100),2)</f>
        <v>#REF!</v>
      </c>
      <c r="G56" s="71" t="s">
        <v>3</v>
      </c>
      <c r="H56" s="67">
        <f>SUM('(九電)予定金額 (最終)'!G616:G618)</f>
        <v>19437</v>
      </c>
      <c r="I56" s="25">
        <f>'(九電)予定金額 (最終)'!I616</f>
        <v>18.29</v>
      </c>
      <c r="J56" s="25">
        <f t="shared" si="5"/>
        <v>355502.73</v>
      </c>
      <c r="K56" s="814" t="e">
        <f>ROUNDDOWN(F56+J56+J57,2)</f>
        <v>#REF!</v>
      </c>
      <c r="Q56" s="33"/>
      <c r="R56" s="60"/>
    </row>
    <row r="57" spans="1:18" ht="26.25" customHeight="1" x14ac:dyDescent="0.15">
      <c r="A57" s="831"/>
      <c r="B57" s="823"/>
      <c r="C57" s="825"/>
      <c r="D57" s="809"/>
      <c r="E57" s="811"/>
      <c r="F57" s="813"/>
      <c r="G57" s="72" t="s">
        <v>9</v>
      </c>
      <c r="H57" s="41">
        <f>SUM('(九電)予定金額 (最終)'!G610:G615,'(九電)予定金額 (最終)'!G619:G621)</f>
        <v>25978</v>
      </c>
      <c r="I57" s="23">
        <f>'(九電)予定金額 (最終)'!I610</f>
        <v>16.87</v>
      </c>
      <c r="J57" s="23">
        <f t="shared" si="5"/>
        <v>438248.86</v>
      </c>
      <c r="K57" s="815"/>
      <c r="M57" s="43">
        <f>SUM(H56:H57)</f>
        <v>45415</v>
      </c>
      <c r="Q57" s="33"/>
      <c r="R57" s="60"/>
    </row>
    <row r="58" spans="1:18" ht="26.25" customHeight="1" x14ac:dyDescent="0.15">
      <c r="A58" s="830">
        <v>23</v>
      </c>
      <c r="B58" s="822" t="e">
        <f>#REF!</f>
        <v>#REF!</v>
      </c>
      <c r="C58" s="824" t="e">
        <f>#REF!</f>
        <v>#REF!</v>
      </c>
      <c r="D58" s="808">
        <f>'(九電)予定金額 (最終)'!O635</f>
        <v>1296</v>
      </c>
      <c r="E58" s="810">
        <v>100</v>
      </c>
      <c r="F58" s="812" t="e">
        <f>12*ROUNDDOWN(C58*D58*((185-E58)/100),2)</f>
        <v>#REF!</v>
      </c>
      <c r="G58" s="71" t="s">
        <v>3</v>
      </c>
      <c r="H58" s="67">
        <f>SUM('(九電)予定金額 (最終)'!S641:S643)</f>
        <v>27346</v>
      </c>
      <c r="I58" s="25">
        <f>'(九電)予定金額 (最終)'!U641</f>
        <v>18.29</v>
      </c>
      <c r="J58" s="25">
        <f t="shared" si="5"/>
        <v>500158.34</v>
      </c>
      <c r="K58" s="814" t="e">
        <f>ROUNDDOWN(F58+J58+J59,2)</f>
        <v>#REF!</v>
      </c>
      <c r="Q58" s="33"/>
      <c r="R58" s="60"/>
    </row>
    <row r="59" spans="1:18" ht="26.25" customHeight="1" x14ac:dyDescent="0.15">
      <c r="A59" s="831"/>
      <c r="B59" s="823"/>
      <c r="C59" s="825"/>
      <c r="D59" s="809"/>
      <c r="E59" s="811"/>
      <c r="F59" s="813"/>
      <c r="G59" s="72" t="s">
        <v>9</v>
      </c>
      <c r="H59" s="41">
        <f>SUM('(九電)予定金額 (最終)'!S635:S640,'(九電)予定金額 (最終)'!S644:S646)</f>
        <v>59626</v>
      </c>
      <c r="I59" s="23">
        <f>'(九電)予定金額 (最終)'!U635</f>
        <v>16.87</v>
      </c>
      <c r="J59" s="23">
        <f t="shared" si="5"/>
        <v>1005890.62</v>
      </c>
      <c r="K59" s="815"/>
      <c r="M59" s="43">
        <f>SUM(H58:H59)</f>
        <v>86972</v>
      </c>
      <c r="Q59" s="33"/>
      <c r="R59" s="60"/>
    </row>
    <row r="60" spans="1:18" ht="26.25" customHeight="1" x14ac:dyDescent="0.15">
      <c r="A60" s="830">
        <v>24</v>
      </c>
      <c r="B60" s="822" t="e">
        <f>#REF!</f>
        <v>#REF!</v>
      </c>
      <c r="C60" s="824" t="e">
        <f>#REF!</f>
        <v>#REF!</v>
      </c>
      <c r="D60" s="808">
        <f>'(九電)予定金額 (最終)'!C660</f>
        <v>2008.8</v>
      </c>
      <c r="E60" s="810">
        <v>100</v>
      </c>
      <c r="F60" s="812" t="e">
        <f>12*ROUNDDOWN(C60*D60*((185-E60)/100),2)</f>
        <v>#REF!</v>
      </c>
      <c r="G60" s="71" t="s">
        <v>3</v>
      </c>
      <c r="H60" s="67">
        <f>SUM('(九電)予定金額 (最終)'!G666:G668)</f>
        <v>53436</v>
      </c>
      <c r="I60" s="25">
        <f>'(九電)予定金額 (最終)'!I666</f>
        <v>12.78</v>
      </c>
      <c r="J60" s="25">
        <f t="shared" ref="J60:J69" si="6">ROUNDDOWN(H60*I60,2)</f>
        <v>682912.08</v>
      </c>
      <c r="K60" s="814" t="e">
        <f>ROUNDDOWN(F60+J60+J61,2)</f>
        <v>#REF!</v>
      </c>
      <c r="Q60" s="33"/>
      <c r="R60" s="60"/>
    </row>
    <row r="61" spans="1:18" ht="26.25" customHeight="1" x14ac:dyDescent="0.15">
      <c r="A61" s="831"/>
      <c r="B61" s="823"/>
      <c r="C61" s="825"/>
      <c r="D61" s="809"/>
      <c r="E61" s="811"/>
      <c r="F61" s="813"/>
      <c r="G61" s="72" t="s">
        <v>9</v>
      </c>
      <c r="H61" s="41">
        <f>SUM('(九電)予定金額 (最終)'!G660:G665,'(九電)予定金額 (最終)'!G669:G671)</f>
        <v>128209</v>
      </c>
      <c r="I61" s="23">
        <f>'(九電)予定金額 (最終)'!I660</f>
        <v>11.87</v>
      </c>
      <c r="J61" s="23">
        <f t="shared" si="6"/>
        <v>1521840.83</v>
      </c>
      <c r="K61" s="815"/>
      <c r="M61" s="43">
        <f>SUM(H60:H61)</f>
        <v>181645</v>
      </c>
      <c r="Q61" s="33"/>
      <c r="R61" s="60"/>
    </row>
    <row r="62" spans="1:18" ht="26.25" customHeight="1" x14ac:dyDescent="0.15">
      <c r="A62" s="830">
        <v>25</v>
      </c>
      <c r="B62" s="822" t="e">
        <f>#REF!</f>
        <v>#REF!</v>
      </c>
      <c r="C62" s="824" t="e">
        <f>#REF!</f>
        <v>#REF!</v>
      </c>
      <c r="D62" s="808">
        <f>'(九電)予定金額 (最終)'!C685</f>
        <v>1296</v>
      </c>
      <c r="E62" s="810">
        <v>100</v>
      </c>
      <c r="F62" s="812" t="e">
        <f>12*ROUNDDOWN(C62*D62*((185-E62)/100),2)</f>
        <v>#REF!</v>
      </c>
      <c r="G62" s="71" t="s">
        <v>3</v>
      </c>
      <c r="H62" s="67">
        <f>SUM('(九電)予定金額 (最終)'!G691:G693)</f>
        <v>16584</v>
      </c>
      <c r="I62" s="25">
        <f>'(九電)予定金額 (最終)'!I691</f>
        <v>18.29</v>
      </c>
      <c r="J62" s="25">
        <f t="shared" si="6"/>
        <v>303321.36</v>
      </c>
      <c r="K62" s="814" t="e">
        <f>ROUNDDOWN(F62+J62+J63,2)</f>
        <v>#REF!</v>
      </c>
      <c r="Q62" s="33"/>
      <c r="R62" s="60"/>
    </row>
    <row r="63" spans="1:18" ht="26.25" customHeight="1" x14ac:dyDescent="0.15">
      <c r="A63" s="831"/>
      <c r="B63" s="823"/>
      <c r="C63" s="825"/>
      <c r="D63" s="809"/>
      <c r="E63" s="811"/>
      <c r="F63" s="813"/>
      <c r="G63" s="72" t="s">
        <v>9</v>
      </c>
      <c r="H63" s="41">
        <f>SUM('(九電)予定金額 (最終)'!G685:G690,'(九電)予定金額 (最終)'!G694:G696)</f>
        <v>36692</v>
      </c>
      <c r="I63" s="23">
        <f>'(九電)予定金額 (最終)'!I685</f>
        <v>16.87</v>
      </c>
      <c r="J63" s="23">
        <f t="shared" si="6"/>
        <v>618994.04</v>
      </c>
      <c r="K63" s="815"/>
      <c r="M63" s="43">
        <f>SUM(H62:H63)</f>
        <v>53276</v>
      </c>
      <c r="Q63" s="33"/>
      <c r="R63" s="60"/>
    </row>
    <row r="64" spans="1:18" ht="26.25" customHeight="1" x14ac:dyDescent="0.15">
      <c r="A64" s="830">
        <v>26</v>
      </c>
      <c r="B64" s="822" t="e">
        <f>#REF!</f>
        <v>#REF!</v>
      </c>
      <c r="C64" s="824" t="e">
        <f>#REF!</f>
        <v>#REF!</v>
      </c>
      <c r="D64" s="808">
        <f>'(九電)予定金額 (最終)'!C710</f>
        <v>1350</v>
      </c>
      <c r="E64" s="810">
        <v>100</v>
      </c>
      <c r="F64" s="812" t="e">
        <f>12*ROUNDDOWN(C64*D64*((185-E64)/100),2)</f>
        <v>#REF!</v>
      </c>
      <c r="G64" s="71" t="s">
        <v>3</v>
      </c>
      <c r="H64" s="67">
        <f>SUM('(九電)予定金額 (最終)'!G716:G718)</f>
        <v>41088</v>
      </c>
      <c r="I64" s="25">
        <f>'(九電)予定金額 (最終)'!I716</f>
        <v>15.74</v>
      </c>
      <c r="J64" s="25">
        <f t="shared" si="6"/>
        <v>646725.12</v>
      </c>
      <c r="K64" s="814" t="e">
        <f>ROUNDDOWN(F64+J64+J65,2)</f>
        <v>#REF!</v>
      </c>
      <c r="Q64" s="33"/>
      <c r="R64" s="60"/>
    </row>
    <row r="65" spans="1:19" ht="26.25" customHeight="1" thickBot="1" x14ac:dyDescent="0.2">
      <c r="A65" s="831"/>
      <c r="B65" s="823"/>
      <c r="C65" s="825"/>
      <c r="D65" s="809"/>
      <c r="E65" s="811"/>
      <c r="F65" s="813"/>
      <c r="G65" s="72" t="s">
        <v>9</v>
      </c>
      <c r="H65" s="41">
        <f>SUM('(九電)予定金額 (最終)'!G710:G715,'(九電)予定金額 (最終)'!G719:G721)</f>
        <v>124971</v>
      </c>
      <c r="I65" s="23">
        <f>'(九電)予定金額 (最終)'!I710</f>
        <v>14.54</v>
      </c>
      <c r="J65" s="23">
        <f t="shared" si="6"/>
        <v>1817078.34</v>
      </c>
      <c r="K65" s="815"/>
      <c r="M65" s="43">
        <f>SUM(H64:H65)</f>
        <v>166059</v>
      </c>
      <c r="Q65" s="33"/>
      <c r="R65" s="60"/>
    </row>
    <row r="66" spans="1:19" ht="26.25" customHeight="1" thickBot="1" x14ac:dyDescent="0.2">
      <c r="A66" s="830">
        <v>27</v>
      </c>
      <c r="B66" s="837" t="e">
        <f>#REF!</f>
        <v>#REF!</v>
      </c>
      <c r="C66" s="840" t="e">
        <f>#REF!</f>
        <v>#REF!</v>
      </c>
      <c r="D66" s="808">
        <f>'(九電)予定金額 (最終)'!C735</f>
        <v>1296</v>
      </c>
      <c r="E66" s="810">
        <v>100</v>
      </c>
      <c r="F66" s="812" t="e">
        <f>12*ROUNDDOWN(C66*D66*((185-E66)/100),2)</f>
        <v>#REF!</v>
      </c>
      <c r="G66" s="511" t="s">
        <v>176</v>
      </c>
      <c r="H66" s="67">
        <f>SUM('(九電)予定金額 (最終)'!G747,'(九電)予定金額 (最終)'!G750,'(九電)予定金額 (最終)'!G753)</f>
        <v>9511</v>
      </c>
      <c r="I66" s="25">
        <f>'(九電)予定金額 (最終)'!I747</f>
        <v>26.01</v>
      </c>
      <c r="J66" s="25">
        <f t="shared" si="6"/>
        <v>247381.11</v>
      </c>
      <c r="K66" s="814" t="e">
        <f>ROUNDDOWN(F66+J66+J67+J68+J69,2)</f>
        <v>#REF!</v>
      </c>
      <c r="Q66" s="33">
        <v>56236181</v>
      </c>
      <c r="R66" s="3">
        <f>ROUNDUP(Q66*100/108,0)</f>
        <v>52070538</v>
      </c>
      <c r="S66" s="14">
        <f>R66*1.08</f>
        <v>56236181.040000007</v>
      </c>
    </row>
    <row r="67" spans="1:19" ht="26.25" customHeight="1" thickBot="1" x14ac:dyDescent="0.2">
      <c r="A67" s="836"/>
      <c r="B67" s="838"/>
      <c r="C67" s="841"/>
      <c r="D67" s="843"/>
      <c r="E67" s="820"/>
      <c r="F67" s="821"/>
      <c r="G67" s="512" t="s">
        <v>161</v>
      </c>
      <c r="H67" s="69">
        <f>SUM('(九電)予定金額 (最終)'!G748,'(九電)予定金額 (最終)'!G751,'(九電)予定金額 (最終)'!G754)</f>
        <v>38842</v>
      </c>
      <c r="I67" s="70">
        <f>'(九電)予定金額 (最終)'!I748</f>
        <v>21.98</v>
      </c>
      <c r="J67" s="70">
        <f t="shared" si="6"/>
        <v>853747.16</v>
      </c>
      <c r="K67" s="819"/>
      <c r="M67" s="14"/>
      <c r="N67" s="43">
        <f>SUM(I66:I67)</f>
        <v>47.99</v>
      </c>
      <c r="O67" s="43">
        <f>SUM(J66:J67)</f>
        <v>1101128.27</v>
      </c>
      <c r="Q67" s="33">
        <v>56236182</v>
      </c>
      <c r="R67" s="3">
        <f>ROUNDUP(Q67*100/108,0)</f>
        <v>52070539</v>
      </c>
      <c r="S67" s="14">
        <f>R67*1.08</f>
        <v>56236182.120000005</v>
      </c>
    </row>
    <row r="68" spans="1:19" ht="26.25" customHeight="1" thickBot="1" x14ac:dyDescent="0.2">
      <c r="A68" s="836"/>
      <c r="B68" s="838"/>
      <c r="C68" s="841"/>
      <c r="D68" s="832"/>
      <c r="E68" s="832"/>
      <c r="F68" s="832"/>
      <c r="G68" s="512" t="s">
        <v>177</v>
      </c>
      <c r="H68" s="69">
        <f>SUM('(九電)予定金額 (最終)'!G735,'(九電)予定金額 (最終)'!G737,'(九電)予定金額 (最終)'!G739,'(九電)予定金額 (最終)'!G741,'(九電)予定金額 (最終)'!G743,'(九電)予定金額 (最終)'!G745,'(九電)予定金額 (最終)'!G756,'(九電)予定金額 (最終)'!G758,'(九電)予定金額 (最終)'!G760)</f>
        <v>112098</v>
      </c>
      <c r="I68" s="70">
        <f>'(九電)予定金額 (最終)'!I735</f>
        <v>20.97</v>
      </c>
      <c r="J68" s="70">
        <f t="shared" si="6"/>
        <v>2350695.06</v>
      </c>
      <c r="K68" s="834"/>
      <c r="Q68" s="33"/>
      <c r="R68" s="3"/>
    </row>
    <row r="69" spans="1:19" ht="26.25" customHeight="1" thickBot="1" x14ac:dyDescent="0.2">
      <c r="A69" s="831"/>
      <c r="B69" s="839"/>
      <c r="C69" s="842"/>
      <c r="D69" s="833"/>
      <c r="E69" s="833"/>
      <c r="F69" s="833"/>
      <c r="G69" s="513" t="s">
        <v>158</v>
      </c>
      <c r="H69" s="41">
        <f>SUM('(九電)予定金額 (最終)'!G736,'(九電)予定金額 (最終)'!G738,'(九電)予定金額 (最終)'!G740,'(九電)予定金額 (最終)'!G742,'(九電)予定金額 (最終)'!G744,'(九電)予定金額 (最終)'!G746,'(九電)予定金額 (最終)'!G749,'(九電)予定金額 (最終)'!G752,'(九電)予定金額 (最終)'!G755,'(九電)予定金額 (最終)'!G757,'(九電)予定金額 (最終)'!G759,'(九電)予定金額 (最終)'!G761)</f>
        <v>106771</v>
      </c>
      <c r="I69" s="23">
        <f>'(九電)予定金額 (最終)'!I736</f>
        <v>8.93</v>
      </c>
      <c r="J69" s="23">
        <f t="shared" si="6"/>
        <v>953465.03</v>
      </c>
      <c r="K69" s="835"/>
      <c r="M69" s="43">
        <f>SUM(H66:H69)</f>
        <v>267222</v>
      </c>
      <c r="Q69" s="33"/>
      <c r="R69" s="3"/>
    </row>
    <row r="70" spans="1:19" s="16" customFormat="1" ht="27" customHeight="1" thickBot="1" x14ac:dyDescent="0.2">
      <c r="A70" s="828" t="s">
        <v>68</v>
      </c>
      <c r="B70" s="829"/>
      <c r="C70" s="48" t="e">
        <f>SUM(C10:C69)</f>
        <v>#REF!</v>
      </c>
      <c r="D70" s="49"/>
      <c r="E70" s="50"/>
      <c r="F70" s="51" t="e">
        <f>SUM(F10:F69)</f>
        <v>#REF!</v>
      </c>
      <c r="G70" s="52"/>
      <c r="H70" s="53">
        <f>SUM(H10:H69)</f>
        <v>4593815</v>
      </c>
      <c r="I70" s="54"/>
      <c r="J70" s="55" t="e">
        <f>SUM(J10:J69)</f>
        <v>#REF!</v>
      </c>
      <c r="K70" s="56" t="e">
        <f>SUM(K10:K69)</f>
        <v>#REF!</v>
      </c>
      <c r="L70" s="16" t="s">
        <v>61</v>
      </c>
      <c r="M70" s="328">
        <f>SUM(M10:M69)</f>
        <v>4593815</v>
      </c>
      <c r="O70" s="44"/>
      <c r="P70" s="44"/>
      <c r="Q70" s="34"/>
    </row>
    <row r="71" spans="1:19" ht="27" customHeight="1" thickBot="1" x14ac:dyDescent="0.2">
      <c r="C71" s="8"/>
      <c r="D71" s="15"/>
      <c r="E71" s="8"/>
      <c r="F71" s="15"/>
      <c r="G71" s="8"/>
      <c r="H71" s="15"/>
      <c r="I71" s="15"/>
      <c r="J71" s="15"/>
      <c r="K71" s="15"/>
    </row>
    <row r="72" spans="1:19" ht="27" customHeight="1" thickBot="1" x14ac:dyDescent="0.2">
      <c r="B72" s="865" t="s">
        <v>2</v>
      </c>
      <c r="C72" s="865"/>
      <c r="D72" s="865"/>
      <c r="E72" s="865"/>
      <c r="F72" s="865"/>
      <c r="G72" s="865"/>
      <c r="I72" s="6" t="s">
        <v>65</v>
      </c>
      <c r="J72" s="16" t="s">
        <v>42</v>
      </c>
      <c r="K72" s="35" t="e">
        <f>ROUNDDOWN(K70,0)</f>
        <v>#REF!</v>
      </c>
      <c r="L72" s="14" t="s">
        <v>60</v>
      </c>
      <c r="M72" s="827" t="e">
        <f>F70+J70</f>
        <v>#REF!</v>
      </c>
      <c r="N72" s="827"/>
      <c r="Q72" s="36"/>
    </row>
    <row r="73" spans="1:19" ht="27" customHeight="1" thickBot="1" x14ac:dyDescent="0.2">
      <c r="B73" s="865"/>
      <c r="C73" s="865"/>
      <c r="D73" s="865"/>
      <c r="E73" s="865"/>
      <c r="F73" s="865"/>
      <c r="G73" s="865"/>
      <c r="K73" s="37"/>
    </row>
    <row r="74" spans="1:19" ht="27" customHeight="1" thickBot="1" x14ac:dyDescent="0.2">
      <c r="B74" s="865"/>
      <c r="C74" s="865"/>
      <c r="D74" s="865"/>
      <c r="E74" s="865"/>
      <c r="F74" s="865"/>
      <c r="G74" s="865"/>
      <c r="H74" s="20" t="s">
        <v>69</v>
      </c>
      <c r="I74" s="6" t="s">
        <v>43</v>
      </c>
      <c r="J74" s="16" t="s">
        <v>59</v>
      </c>
      <c r="K74" s="38" t="e">
        <f>ROUNDUP(K72*100/108,0)</f>
        <v>#REF!</v>
      </c>
      <c r="L74" s="14" t="s">
        <v>64</v>
      </c>
      <c r="Q74" s="826" t="e">
        <f>K74*1.08</f>
        <v>#REF!</v>
      </c>
      <c r="R74" s="826"/>
    </row>
    <row r="75" spans="1:19" ht="27" customHeight="1" x14ac:dyDescent="0.15">
      <c r="B75" s="865"/>
      <c r="C75" s="865"/>
      <c r="D75" s="865"/>
      <c r="E75" s="865"/>
      <c r="F75" s="865"/>
      <c r="G75" s="865"/>
      <c r="H75" s="16"/>
    </row>
    <row r="76" spans="1:19" ht="15" customHeight="1" x14ac:dyDescent="0.15">
      <c r="B76" s="6"/>
      <c r="C76" s="6"/>
      <c r="D76" s="16"/>
      <c r="E76" s="6"/>
      <c r="F76" s="16"/>
      <c r="G76" s="16"/>
      <c r="H76" s="16"/>
    </row>
    <row r="77" spans="1:19" ht="15" customHeight="1" x14ac:dyDescent="0.15">
      <c r="E77" s="17"/>
      <c r="F77" s="18"/>
      <c r="G77" s="18"/>
      <c r="H77" s="18"/>
    </row>
    <row r="78" spans="1:19" ht="15" customHeight="1" x14ac:dyDescent="0.15">
      <c r="E78" s="17"/>
      <c r="F78" s="19"/>
      <c r="G78" s="17"/>
      <c r="H78" s="19"/>
    </row>
    <row r="79" spans="1:19" x14ac:dyDescent="0.15">
      <c r="B79" s="19"/>
      <c r="C79" s="17"/>
      <c r="D79" s="19"/>
      <c r="E79" s="17"/>
      <c r="F79" s="19"/>
      <c r="G79" s="19"/>
      <c r="H79" s="19"/>
    </row>
  </sheetData>
  <mergeCells count="209">
    <mergeCell ref="K20:K21"/>
    <mergeCell ref="K16:K17"/>
    <mergeCell ref="K18:K19"/>
    <mergeCell ref="F14:F15"/>
    <mergeCell ref="F20:F21"/>
    <mergeCell ref="K26:K27"/>
    <mergeCell ref="D26:D27"/>
    <mergeCell ref="E26:E27"/>
    <mergeCell ref="F24:F25"/>
    <mergeCell ref="F22:F23"/>
    <mergeCell ref="K22:K23"/>
    <mergeCell ref="F26:F27"/>
    <mergeCell ref="K24:K25"/>
    <mergeCell ref="A26:A27"/>
    <mergeCell ref="B26:B27"/>
    <mergeCell ref="C26:C27"/>
    <mergeCell ref="A30:A31"/>
    <mergeCell ref="F32:F33"/>
    <mergeCell ref="F34:F35"/>
    <mergeCell ref="D32:D33"/>
    <mergeCell ref="D36:D37"/>
    <mergeCell ref="F36:F37"/>
    <mergeCell ref="B34:B35"/>
    <mergeCell ref="C28:C29"/>
    <mergeCell ref="D28:D29"/>
    <mergeCell ref="E28:E29"/>
    <mergeCell ref="E34:E35"/>
    <mergeCell ref="E32:E33"/>
    <mergeCell ref="E30:E31"/>
    <mergeCell ref="A34:A35"/>
    <mergeCell ref="A28:A29"/>
    <mergeCell ref="B28:B29"/>
    <mergeCell ref="F30:F31"/>
    <mergeCell ref="F28:F29"/>
    <mergeCell ref="A48:A49"/>
    <mergeCell ref="B44:B47"/>
    <mergeCell ref="C44:C47"/>
    <mergeCell ref="D44:D47"/>
    <mergeCell ref="F48:F49"/>
    <mergeCell ref="K48:K49"/>
    <mergeCell ref="C30:C31"/>
    <mergeCell ref="D30:D31"/>
    <mergeCell ref="A32:A33"/>
    <mergeCell ref="A38:A39"/>
    <mergeCell ref="B32:B33"/>
    <mergeCell ref="K32:K33"/>
    <mergeCell ref="A44:A47"/>
    <mergeCell ref="B40:B43"/>
    <mergeCell ref="A40:A43"/>
    <mergeCell ref="C40:C43"/>
    <mergeCell ref="E36:E37"/>
    <mergeCell ref="K30:K31"/>
    <mergeCell ref="B38:B39"/>
    <mergeCell ref="C38:C39"/>
    <mergeCell ref="D40:D43"/>
    <mergeCell ref="K34:K35"/>
    <mergeCell ref="F44:F47"/>
    <mergeCell ref="K44:K47"/>
    <mergeCell ref="K28:K29"/>
    <mergeCell ref="A36:A37"/>
    <mergeCell ref="E44:E47"/>
    <mergeCell ref="E48:E49"/>
    <mergeCell ref="B12:B13"/>
    <mergeCell ref="B30:B31"/>
    <mergeCell ref="A14:A15"/>
    <mergeCell ref="A22:A23"/>
    <mergeCell ref="A20:A21"/>
    <mergeCell ref="C36:C37"/>
    <mergeCell ref="C22:C23"/>
    <mergeCell ref="D20:D21"/>
    <mergeCell ref="B20:B21"/>
    <mergeCell ref="C16:C17"/>
    <mergeCell ref="D18:D19"/>
    <mergeCell ref="D14:D15"/>
    <mergeCell ref="C12:C13"/>
    <mergeCell ref="E20:E21"/>
    <mergeCell ref="D22:D23"/>
    <mergeCell ref="E22:E23"/>
    <mergeCell ref="C24:C25"/>
    <mergeCell ref="D24:D25"/>
    <mergeCell ref="E24:E25"/>
    <mergeCell ref="E18:E19"/>
    <mergeCell ref="B72:G75"/>
    <mergeCell ref="A1:L1"/>
    <mergeCell ref="A2:L2"/>
    <mergeCell ref="A5:A9"/>
    <mergeCell ref="D34:D35"/>
    <mergeCell ref="C34:C35"/>
    <mergeCell ref="C32:C33"/>
    <mergeCell ref="A16:A17"/>
    <mergeCell ref="B16:B17"/>
    <mergeCell ref="C20:C21"/>
    <mergeCell ref="B36:B37"/>
    <mergeCell ref="C10:C11"/>
    <mergeCell ref="A10:A11"/>
    <mergeCell ref="B14:B15"/>
    <mergeCell ref="C14:C15"/>
    <mergeCell ref="A12:A13"/>
    <mergeCell ref="B10:B11"/>
    <mergeCell ref="F10:F11"/>
    <mergeCell ref="A24:A25"/>
    <mergeCell ref="B24:B25"/>
    <mergeCell ref="A18:A19"/>
    <mergeCell ref="B18:B19"/>
    <mergeCell ref="C18:C19"/>
    <mergeCell ref="B22:B23"/>
    <mergeCell ref="K10:K11"/>
    <mergeCell ref="D10:D11"/>
    <mergeCell ref="D12:D13"/>
    <mergeCell ref="D16:D17"/>
    <mergeCell ref="E12:E13"/>
    <mergeCell ref="F12:F13"/>
    <mergeCell ref="E16:E17"/>
    <mergeCell ref="E14:E15"/>
    <mergeCell ref="F18:F19"/>
    <mergeCell ref="E10:E11"/>
    <mergeCell ref="K12:K13"/>
    <mergeCell ref="F16:F17"/>
    <mergeCell ref="K14:K15"/>
    <mergeCell ref="B5:B9"/>
    <mergeCell ref="C5:F5"/>
    <mergeCell ref="C6:C7"/>
    <mergeCell ref="D6:D7"/>
    <mergeCell ref="I6:I7"/>
    <mergeCell ref="J6:J7"/>
    <mergeCell ref="K5:K7"/>
    <mergeCell ref="G5:J5"/>
    <mergeCell ref="G6:H7"/>
    <mergeCell ref="G8:H8"/>
    <mergeCell ref="G9:H9"/>
    <mergeCell ref="E6:E7"/>
    <mergeCell ref="F6:F7"/>
    <mergeCell ref="A60:A61"/>
    <mergeCell ref="B50:B51"/>
    <mergeCell ref="C50:C51"/>
    <mergeCell ref="A56:A57"/>
    <mergeCell ref="B56:B57"/>
    <mergeCell ref="C56:C57"/>
    <mergeCell ref="A54:A55"/>
    <mergeCell ref="B54:B55"/>
    <mergeCell ref="C54:C55"/>
    <mergeCell ref="A52:A53"/>
    <mergeCell ref="B52:B53"/>
    <mergeCell ref="A58:A59"/>
    <mergeCell ref="B58:B59"/>
    <mergeCell ref="C58:C59"/>
    <mergeCell ref="A50:A51"/>
    <mergeCell ref="C52:C53"/>
    <mergeCell ref="B60:B61"/>
    <mergeCell ref="C60:C61"/>
    <mergeCell ref="Q74:R74"/>
    <mergeCell ref="M72:N72"/>
    <mergeCell ref="E58:E59"/>
    <mergeCell ref="A70:B70"/>
    <mergeCell ref="A64:A65"/>
    <mergeCell ref="E66:E69"/>
    <mergeCell ref="F66:F69"/>
    <mergeCell ref="K66:K69"/>
    <mergeCell ref="A66:A69"/>
    <mergeCell ref="B66:B69"/>
    <mergeCell ref="C66:C69"/>
    <mergeCell ref="D66:D69"/>
    <mergeCell ref="F60:F61"/>
    <mergeCell ref="K60:K61"/>
    <mergeCell ref="A62:A63"/>
    <mergeCell ref="B62:B63"/>
    <mergeCell ref="C62:C63"/>
    <mergeCell ref="D62:D63"/>
    <mergeCell ref="E64:E65"/>
    <mergeCell ref="F64:F65"/>
    <mergeCell ref="K64:K65"/>
    <mergeCell ref="B64:B65"/>
    <mergeCell ref="C64:C65"/>
    <mergeCell ref="D64:D65"/>
    <mergeCell ref="K36:K37"/>
    <mergeCell ref="D38:D39"/>
    <mergeCell ref="F38:F39"/>
    <mergeCell ref="K38:K39"/>
    <mergeCell ref="E38:E39"/>
    <mergeCell ref="K40:K43"/>
    <mergeCell ref="E40:E43"/>
    <mergeCell ref="F40:F43"/>
    <mergeCell ref="B48:B49"/>
    <mergeCell ref="C48:C49"/>
    <mergeCell ref="D48:D49"/>
    <mergeCell ref="D54:D55"/>
    <mergeCell ref="D58:D59"/>
    <mergeCell ref="D50:D51"/>
    <mergeCell ref="E62:E63"/>
    <mergeCell ref="F62:F63"/>
    <mergeCell ref="K62:K63"/>
    <mergeCell ref="D52:D53"/>
    <mergeCell ref="E52:E53"/>
    <mergeCell ref="F52:F53"/>
    <mergeCell ref="K52:K53"/>
    <mergeCell ref="K58:K59"/>
    <mergeCell ref="E50:E51"/>
    <mergeCell ref="K54:K55"/>
    <mergeCell ref="D56:D57"/>
    <mergeCell ref="E56:E57"/>
    <mergeCell ref="F56:F57"/>
    <mergeCell ref="K56:K57"/>
    <mergeCell ref="D60:D61"/>
    <mergeCell ref="E54:E55"/>
    <mergeCell ref="K50:K51"/>
    <mergeCell ref="F58:F59"/>
    <mergeCell ref="F54:F55"/>
    <mergeCell ref="F50:F51"/>
    <mergeCell ref="E60:E61"/>
  </mergeCells>
  <phoneticPr fontId="20"/>
  <printOptions horizontalCentered="1"/>
  <pageMargins left="0.78740157480314965" right="0.78740157480314965" top="1.1811023622047245" bottom="0" header="0.19685039370078741" footer="0.19685039370078741"/>
  <pageSetup paperSize="8" scale="5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84"/>
  <sheetViews>
    <sheetView tabSelected="1" view="pageBreakPreview" zoomScale="70" zoomScaleNormal="100" zoomScaleSheetLayoutView="70" workbookViewId="0">
      <pane ySplit="9" topLeftCell="A10" activePane="bottomLeft" state="frozenSplit"/>
      <selection activeCell="H177" sqref="H177"/>
      <selection pane="bottomLeft" activeCell="B34" sqref="B34:B35"/>
    </sheetView>
  </sheetViews>
  <sheetFormatPr defaultRowHeight="13.5" x14ac:dyDescent="0.15"/>
  <cols>
    <col min="1" max="1" width="7.875" style="14" customWidth="1"/>
    <col min="2" max="2" width="45.25" style="7" customWidth="1"/>
    <col min="3" max="3" width="10.125" style="7" customWidth="1"/>
    <col min="4" max="4" width="16.875" style="14" customWidth="1"/>
    <col min="5" max="5" width="9.625" style="7" customWidth="1"/>
    <col min="6" max="6" width="27.625" style="14" customWidth="1"/>
    <col min="7" max="7" width="19" style="7" customWidth="1"/>
    <col min="8" max="8" width="18.625" style="14" customWidth="1"/>
    <col min="9" max="9" width="16.5" style="14" customWidth="1"/>
    <col min="10" max="11" width="27.625" style="14" customWidth="1"/>
    <col min="12" max="16384" width="9" style="14"/>
  </cols>
  <sheetData>
    <row r="1" spans="1:14" ht="42" customHeight="1" x14ac:dyDescent="0.15">
      <c r="A1" s="883" t="s">
        <v>180</v>
      </c>
      <c r="B1" s="883"/>
      <c r="C1" s="883"/>
      <c r="D1" s="883"/>
      <c r="E1" s="883"/>
      <c r="F1" s="883"/>
      <c r="H1" s="884" t="s">
        <v>12</v>
      </c>
      <c r="I1" s="884"/>
      <c r="J1" s="884"/>
      <c r="K1" s="884"/>
      <c r="L1" s="884"/>
    </row>
    <row r="2" spans="1:14" s="32" customFormat="1" ht="42.75" customHeight="1" x14ac:dyDescent="0.3">
      <c r="A2" s="885" t="s">
        <v>195</v>
      </c>
      <c r="B2" s="885"/>
      <c r="C2" s="885"/>
      <c r="D2" s="885"/>
      <c r="E2" s="885"/>
      <c r="F2" s="885"/>
      <c r="G2" s="57"/>
      <c r="H2" s="884"/>
      <c r="I2" s="884"/>
      <c r="J2" s="884"/>
      <c r="K2" s="884"/>
      <c r="L2" s="884"/>
    </row>
    <row r="3" spans="1:14" s="32" customFormat="1" ht="42" customHeight="1" x14ac:dyDescent="0.15">
      <c r="A3" s="867" t="s">
        <v>196</v>
      </c>
      <c r="B3" s="867"/>
      <c r="C3" s="867"/>
      <c r="D3" s="867"/>
      <c r="E3" s="867"/>
      <c r="F3" s="867"/>
      <c r="G3" s="58"/>
      <c r="H3" s="884"/>
      <c r="I3" s="884"/>
      <c r="J3" s="884"/>
      <c r="K3" s="884"/>
      <c r="L3" s="884"/>
    </row>
    <row r="4" spans="1:14" ht="42.75" customHeight="1" thickBot="1" x14ac:dyDescent="0.2">
      <c r="A4" s="886" t="s">
        <v>191</v>
      </c>
      <c r="B4" s="886"/>
      <c r="C4" s="886"/>
      <c r="D4" s="886"/>
      <c r="E4" s="886"/>
      <c r="F4" s="886"/>
      <c r="G4" s="59"/>
      <c r="H4" s="884"/>
      <c r="I4" s="884"/>
      <c r="J4" s="884"/>
      <c r="K4" s="884"/>
      <c r="L4" s="884"/>
    </row>
    <row r="5" spans="1:14" ht="18" thickBot="1" x14ac:dyDescent="0.2">
      <c r="A5" s="868" t="s">
        <v>62</v>
      </c>
      <c r="B5" s="887" t="s">
        <v>27</v>
      </c>
      <c r="C5" s="847" t="s">
        <v>24</v>
      </c>
      <c r="D5" s="848"/>
      <c r="E5" s="848"/>
      <c r="F5" s="849"/>
      <c r="G5" s="828" t="s">
        <v>34</v>
      </c>
      <c r="H5" s="855"/>
      <c r="I5" s="855"/>
      <c r="J5" s="829"/>
      <c r="K5" s="853" t="s">
        <v>67</v>
      </c>
    </row>
    <row r="6" spans="1:14" ht="13.5" customHeight="1" x14ac:dyDescent="0.15">
      <c r="A6" s="869"/>
      <c r="B6" s="888"/>
      <c r="C6" s="850" t="s">
        <v>1</v>
      </c>
      <c r="D6" s="850" t="s">
        <v>29</v>
      </c>
      <c r="E6" s="852" t="s">
        <v>25</v>
      </c>
      <c r="F6" s="856" t="s">
        <v>31</v>
      </c>
      <c r="G6" s="856" t="s">
        <v>0</v>
      </c>
      <c r="H6" s="857"/>
      <c r="I6" s="850" t="s">
        <v>49</v>
      </c>
      <c r="J6" s="852" t="s">
        <v>38</v>
      </c>
      <c r="K6" s="854"/>
    </row>
    <row r="7" spans="1:14" ht="15" customHeight="1" x14ac:dyDescent="0.15">
      <c r="A7" s="869"/>
      <c r="B7" s="888"/>
      <c r="C7" s="851"/>
      <c r="D7" s="851"/>
      <c r="E7" s="852"/>
      <c r="F7" s="858"/>
      <c r="G7" s="858"/>
      <c r="H7" s="859"/>
      <c r="I7" s="851"/>
      <c r="J7" s="852"/>
      <c r="K7" s="854"/>
    </row>
    <row r="8" spans="1:14" ht="24" customHeight="1" x14ac:dyDescent="0.15">
      <c r="A8" s="869"/>
      <c r="B8" s="888"/>
      <c r="C8" s="9" t="s">
        <v>39</v>
      </c>
      <c r="D8" s="10" t="s">
        <v>30</v>
      </c>
      <c r="E8" s="9" t="s">
        <v>26</v>
      </c>
      <c r="F8" s="538" t="s">
        <v>186</v>
      </c>
      <c r="G8" s="860" t="s">
        <v>44</v>
      </c>
      <c r="H8" s="861"/>
      <c r="I8" s="12" t="s">
        <v>30</v>
      </c>
      <c r="J8" s="9" t="s">
        <v>40</v>
      </c>
      <c r="K8" s="9" t="s">
        <v>40</v>
      </c>
    </row>
    <row r="9" spans="1:14" ht="19.5" customHeight="1" thickBot="1" x14ac:dyDescent="0.2">
      <c r="A9" s="870"/>
      <c r="B9" s="889"/>
      <c r="C9" s="13" t="s">
        <v>45</v>
      </c>
      <c r="D9" s="13" t="s">
        <v>46</v>
      </c>
      <c r="E9" s="13" t="s">
        <v>47</v>
      </c>
      <c r="F9" s="13" t="s">
        <v>63</v>
      </c>
      <c r="G9" s="862" t="s">
        <v>20</v>
      </c>
      <c r="H9" s="863"/>
      <c r="I9" s="13" t="s">
        <v>48</v>
      </c>
      <c r="J9" s="13" t="s">
        <v>22</v>
      </c>
      <c r="K9" s="514" t="s">
        <v>23</v>
      </c>
    </row>
    <row r="10" spans="1:14" ht="26.25" customHeight="1" x14ac:dyDescent="0.15">
      <c r="A10" s="831">
        <v>1</v>
      </c>
      <c r="B10" s="873" t="str">
        <f>[3]予定価格算出資料!B9</f>
        <v>小郡市役所庁舎</v>
      </c>
      <c r="C10" s="872">
        <v>212</v>
      </c>
      <c r="D10" s="809"/>
      <c r="E10" s="820">
        <v>100</v>
      </c>
      <c r="F10" s="817">
        <f>12*ROUNDDOWN(C10*D10*((185-E10)/100),2)</f>
        <v>0</v>
      </c>
      <c r="G10" s="534" t="str">
        <f>[3]予定価格算出資料!G9</f>
        <v>夏季</v>
      </c>
      <c r="H10" s="539">
        <v>128958</v>
      </c>
      <c r="I10" s="529"/>
      <c r="J10" s="29">
        <f t="shared" ref="J10:J77" si="0">ROUNDDOWN(H10*I10,2)</f>
        <v>0</v>
      </c>
      <c r="K10" s="815">
        <f>ROUNDDOWN(F10+J10+J11,2)</f>
        <v>0</v>
      </c>
      <c r="M10" s="881">
        <f>H10+H11</f>
        <v>399488</v>
      </c>
      <c r="N10" s="882"/>
    </row>
    <row r="11" spans="1:14" ht="26.25" customHeight="1" x14ac:dyDescent="0.15">
      <c r="A11" s="871"/>
      <c r="B11" s="823"/>
      <c r="C11" s="825"/>
      <c r="D11" s="864"/>
      <c r="E11" s="811"/>
      <c r="F11" s="818"/>
      <c r="G11" s="535" t="str">
        <f>[3]予定価格算出資料!G10</f>
        <v>その他季</v>
      </c>
      <c r="H11" s="525">
        <v>270530</v>
      </c>
      <c r="I11" s="530"/>
      <c r="J11" s="23">
        <f t="shared" si="0"/>
        <v>0</v>
      </c>
      <c r="K11" s="816"/>
      <c r="M11" s="881"/>
      <c r="N11" s="882"/>
    </row>
    <row r="12" spans="1:14" ht="26.25" customHeight="1" x14ac:dyDescent="0.15">
      <c r="A12" s="830">
        <f>A10+1</f>
        <v>2</v>
      </c>
      <c r="B12" s="837" t="str">
        <f>[3]予定価格算出資料!B11</f>
        <v>小郡市役所庁舎（南別館）</v>
      </c>
      <c r="C12" s="875">
        <v>48</v>
      </c>
      <c r="D12" s="808"/>
      <c r="E12" s="810">
        <v>100</v>
      </c>
      <c r="F12" s="890">
        <f>12*ROUNDDOWN(C12*D12*((185-E12)/100),2)</f>
        <v>0</v>
      </c>
      <c r="G12" s="516" t="str">
        <f>[3]予定価格算出資料!G11</f>
        <v>夏季</v>
      </c>
      <c r="H12" s="520">
        <v>16037</v>
      </c>
      <c r="I12" s="527"/>
      <c r="J12" s="25">
        <f t="shared" si="0"/>
        <v>0</v>
      </c>
      <c r="K12" s="815">
        <f>ROUNDDOWN(F12+J12+J13,2)</f>
        <v>0</v>
      </c>
      <c r="M12" s="881">
        <f t="shared" ref="M12" si="1">H12+H13</f>
        <v>50165</v>
      </c>
      <c r="N12" s="882"/>
    </row>
    <row r="13" spans="1:14" ht="26.25" customHeight="1" x14ac:dyDescent="0.15">
      <c r="A13" s="831"/>
      <c r="B13" s="874"/>
      <c r="C13" s="876"/>
      <c r="D13" s="809"/>
      <c r="E13" s="811"/>
      <c r="F13" s="818"/>
      <c r="G13" s="513" t="str">
        <f>[3]予定価格算出資料!G12</f>
        <v>その他季</v>
      </c>
      <c r="H13" s="523">
        <v>34128</v>
      </c>
      <c r="I13" s="528"/>
      <c r="J13" s="23">
        <f t="shared" si="0"/>
        <v>0</v>
      </c>
      <c r="K13" s="816"/>
      <c r="M13" s="881"/>
      <c r="N13" s="882"/>
    </row>
    <row r="14" spans="1:14" ht="26.25" customHeight="1" x14ac:dyDescent="0.15">
      <c r="A14" s="830">
        <f>A12+1</f>
        <v>3</v>
      </c>
      <c r="B14" s="837" t="str">
        <f>[3]予定価格算出資料!B13</f>
        <v>河北苑</v>
      </c>
      <c r="C14" s="824">
        <v>169</v>
      </c>
      <c r="D14" s="808"/>
      <c r="E14" s="810">
        <v>100</v>
      </c>
      <c r="F14" s="890">
        <f>12*ROUNDDOWN(C14*D14*((185-E14)/100),2)</f>
        <v>0</v>
      </c>
      <c r="G14" s="516" t="str">
        <f>[3]予定価格算出資料!G13</f>
        <v>夏季</v>
      </c>
      <c r="H14" s="522">
        <v>81601</v>
      </c>
      <c r="I14" s="527"/>
      <c r="J14" s="27">
        <f t="shared" si="0"/>
        <v>0</v>
      </c>
      <c r="K14" s="815">
        <f>ROUNDDOWN(F14+J14+J15,2)</f>
        <v>0</v>
      </c>
      <c r="M14" s="881">
        <f t="shared" ref="M14:M18" si="2">H14+H15</f>
        <v>214575</v>
      </c>
      <c r="N14" s="882"/>
    </row>
    <row r="15" spans="1:14" ht="26.25" customHeight="1" x14ac:dyDescent="0.15">
      <c r="A15" s="831"/>
      <c r="B15" s="874"/>
      <c r="C15" s="825"/>
      <c r="D15" s="809"/>
      <c r="E15" s="811"/>
      <c r="F15" s="818"/>
      <c r="G15" s="513" t="str">
        <f>[3]予定価格算出資料!G14</f>
        <v>その他季</v>
      </c>
      <c r="H15" s="523">
        <v>132974</v>
      </c>
      <c r="I15" s="528"/>
      <c r="J15" s="23">
        <f t="shared" si="0"/>
        <v>0</v>
      </c>
      <c r="K15" s="816"/>
      <c r="M15" s="881"/>
      <c r="N15" s="882"/>
    </row>
    <row r="16" spans="1:14" ht="26.25" customHeight="1" x14ac:dyDescent="0.15">
      <c r="A16" s="830">
        <f>A14+1</f>
        <v>4</v>
      </c>
      <c r="B16" s="837" t="str">
        <f>[3]予定価格算出資料!B15</f>
        <v>高齢者社会活動支援センター</v>
      </c>
      <c r="C16" s="824">
        <v>46</v>
      </c>
      <c r="D16" s="808"/>
      <c r="E16" s="810">
        <v>100</v>
      </c>
      <c r="F16" s="817">
        <f>12*ROUNDDOWN(C16*D16*((185-E16)/100),2)</f>
        <v>0</v>
      </c>
      <c r="G16" s="516" t="str">
        <f>[3]予定価格算出資料!G15</f>
        <v>夏季</v>
      </c>
      <c r="H16" s="524">
        <v>15355</v>
      </c>
      <c r="I16" s="527"/>
      <c r="J16" s="29">
        <f t="shared" si="0"/>
        <v>0</v>
      </c>
      <c r="K16" s="815">
        <f>ROUNDDOWN(F16+J16+J17,2)</f>
        <v>0</v>
      </c>
      <c r="M16" s="881">
        <f t="shared" si="2"/>
        <v>51115</v>
      </c>
      <c r="N16" s="882"/>
    </row>
    <row r="17" spans="1:14" ht="26.25" customHeight="1" x14ac:dyDescent="0.15">
      <c r="A17" s="831"/>
      <c r="B17" s="874"/>
      <c r="C17" s="825"/>
      <c r="D17" s="809"/>
      <c r="E17" s="811"/>
      <c r="F17" s="818"/>
      <c r="G17" s="513" t="str">
        <f>[3]予定価格算出資料!G16</f>
        <v>その他季</v>
      </c>
      <c r="H17" s="525">
        <v>35760</v>
      </c>
      <c r="I17" s="528"/>
      <c r="J17" s="22">
        <f t="shared" si="0"/>
        <v>0</v>
      </c>
      <c r="K17" s="816"/>
      <c r="M17" s="881"/>
      <c r="N17" s="882"/>
    </row>
    <row r="18" spans="1:14" ht="26.25" customHeight="1" x14ac:dyDescent="0.15">
      <c r="A18" s="830">
        <f>A16+1</f>
        <v>5</v>
      </c>
      <c r="B18" s="891" t="str">
        <f>[3]予定価格算出資料!B17</f>
        <v>小郡市総合保健福祉センター
あすてらす</v>
      </c>
      <c r="C18" s="824">
        <v>329</v>
      </c>
      <c r="D18" s="808"/>
      <c r="E18" s="810">
        <v>100</v>
      </c>
      <c r="F18" s="817">
        <f>12*ROUNDDOWN(C18*D18*((185-E18)/100),2)</f>
        <v>0</v>
      </c>
      <c r="G18" s="516" t="str">
        <f>[3]予定価格算出資料!G17</f>
        <v>夏季</v>
      </c>
      <c r="H18" s="522">
        <v>259242</v>
      </c>
      <c r="I18" s="527"/>
      <c r="J18" s="27">
        <f t="shared" si="0"/>
        <v>0</v>
      </c>
      <c r="K18" s="815">
        <f>ROUNDDOWN(F18+J18+J19,2)</f>
        <v>0</v>
      </c>
      <c r="M18" s="881">
        <f t="shared" si="2"/>
        <v>885389</v>
      </c>
      <c r="N18" s="882"/>
    </row>
    <row r="19" spans="1:14" ht="26.25" customHeight="1" x14ac:dyDescent="0.15">
      <c r="A19" s="831"/>
      <c r="B19" s="892"/>
      <c r="C19" s="825"/>
      <c r="D19" s="809"/>
      <c r="E19" s="811"/>
      <c r="F19" s="818"/>
      <c r="G19" s="513" t="str">
        <f>[3]予定価格算出資料!G18</f>
        <v>その他季</v>
      </c>
      <c r="H19" s="523">
        <v>626147</v>
      </c>
      <c r="I19" s="528"/>
      <c r="J19" s="23">
        <f t="shared" si="0"/>
        <v>0</v>
      </c>
      <c r="K19" s="816"/>
      <c r="M19" s="881"/>
      <c r="N19" s="882"/>
    </row>
    <row r="20" spans="1:14" ht="26.25" customHeight="1" x14ac:dyDescent="0.15">
      <c r="A20" s="830">
        <f>A18+1</f>
        <v>6</v>
      </c>
      <c r="B20" s="837" t="str">
        <f>[3]予定価格算出資料!B19</f>
        <v>味坂小学校</v>
      </c>
      <c r="C20" s="840">
        <v>98</v>
      </c>
      <c r="D20" s="808"/>
      <c r="E20" s="810">
        <v>100</v>
      </c>
      <c r="F20" s="817">
        <f>12*ROUNDDOWN(C20*D20*((185-E20)/100),2)</f>
        <v>0</v>
      </c>
      <c r="G20" s="516" t="str">
        <f>[3]予定価格算出資料!G19</f>
        <v>夏季</v>
      </c>
      <c r="H20" s="524">
        <v>32864</v>
      </c>
      <c r="I20" s="527"/>
      <c r="J20" s="27">
        <f t="shared" si="0"/>
        <v>0</v>
      </c>
      <c r="K20" s="815">
        <f>ROUNDDOWN(F20+J20+J21,2)</f>
        <v>0</v>
      </c>
      <c r="M20" s="881">
        <f t="shared" ref="M20" si="3">H20+H21</f>
        <v>111982</v>
      </c>
      <c r="N20" s="882"/>
    </row>
    <row r="21" spans="1:14" ht="26.25" customHeight="1" x14ac:dyDescent="0.15">
      <c r="A21" s="831"/>
      <c r="B21" s="874"/>
      <c r="C21" s="842"/>
      <c r="D21" s="809"/>
      <c r="E21" s="811"/>
      <c r="F21" s="818"/>
      <c r="G21" s="513" t="str">
        <f>[3]予定価格算出資料!G20</f>
        <v>その他季</v>
      </c>
      <c r="H21" s="525">
        <v>79118</v>
      </c>
      <c r="I21" s="528"/>
      <c r="J21" s="23">
        <f t="shared" si="0"/>
        <v>0</v>
      </c>
      <c r="K21" s="816"/>
      <c r="M21" s="881"/>
      <c r="N21" s="882"/>
    </row>
    <row r="22" spans="1:14" ht="26.25" customHeight="1" x14ac:dyDescent="0.15">
      <c r="A22" s="830">
        <f>A20+1</f>
        <v>7</v>
      </c>
      <c r="B22" s="837" t="str">
        <f>[3]予定価格算出資料!B21</f>
        <v>小郡小学校</v>
      </c>
      <c r="C22" s="840">
        <v>298</v>
      </c>
      <c r="D22" s="808"/>
      <c r="E22" s="810">
        <v>100</v>
      </c>
      <c r="F22" s="817">
        <f>12*ROUNDDOWN(C22*D22*((185-E22)/100),2)</f>
        <v>0</v>
      </c>
      <c r="G22" s="516" t="str">
        <f>[3]予定価格算出資料!G21</f>
        <v>夏季</v>
      </c>
      <c r="H22" s="522">
        <v>94992</v>
      </c>
      <c r="I22" s="527"/>
      <c r="J22" s="27">
        <f t="shared" si="0"/>
        <v>0</v>
      </c>
      <c r="K22" s="815">
        <f>ROUNDDOWN(F22+J22+J23,2)</f>
        <v>0</v>
      </c>
      <c r="M22" s="881">
        <f t="shared" ref="M22" si="4">H22+H23</f>
        <v>299412</v>
      </c>
      <c r="N22" s="882"/>
    </row>
    <row r="23" spans="1:14" ht="26.25" customHeight="1" x14ac:dyDescent="0.15">
      <c r="A23" s="831"/>
      <c r="B23" s="874"/>
      <c r="C23" s="842"/>
      <c r="D23" s="809"/>
      <c r="E23" s="811"/>
      <c r="F23" s="818"/>
      <c r="G23" s="513" t="str">
        <f>[3]予定価格算出資料!G22</f>
        <v>その他季</v>
      </c>
      <c r="H23" s="523">
        <v>204420</v>
      </c>
      <c r="I23" s="528"/>
      <c r="J23" s="23">
        <f t="shared" si="0"/>
        <v>0</v>
      </c>
      <c r="K23" s="816"/>
      <c r="M23" s="881"/>
      <c r="N23" s="882"/>
    </row>
    <row r="24" spans="1:14" ht="26.25" customHeight="1" x14ac:dyDescent="0.15">
      <c r="A24" s="830">
        <f>A22+1</f>
        <v>8</v>
      </c>
      <c r="B24" s="837" t="str">
        <f>[3]予定価格算出資料!B23</f>
        <v>御原小学校</v>
      </c>
      <c r="C24" s="840">
        <v>134</v>
      </c>
      <c r="D24" s="808"/>
      <c r="E24" s="810">
        <v>100</v>
      </c>
      <c r="F24" s="817">
        <f>12*ROUNDDOWN(C24*D24*((185-E24)/100),2)</f>
        <v>0</v>
      </c>
      <c r="G24" s="516" t="str">
        <f>[3]予定価格算出資料!G23</f>
        <v>夏季</v>
      </c>
      <c r="H24" s="522">
        <v>42991</v>
      </c>
      <c r="I24" s="527"/>
      <c r="J24" s="27">
        <f t="shared" si="0"/>
        <v>0</v>
      </c>
      <c r="K24" s="815">
        <f>ROUNDDOWN(F24+J24+J25,2)</f>
        <v>0</v>
      </c>
      <c r="M24" s="881">
        <f t="shared" ref="M24" si="5">H24+H25</f>
        <v>135461</v>
      </c>
      <c r="N24" s="882"/>
    </row>
    <row r="25" spans="1:14" ht="26.25" customHeight="1" x14ac:dyDescent="0.15">
      <c r="A25" s="831"/>
      <c r="B25" s="874"/>
      <c r="C25" s="842"/>
      <c r="D25" s="809"/>
      <c r="E25" s="811"/>
      <c r="F25" s="818"/>
      <c r="G25" s="513" t="str">
        <f>[3]予定価格算出資料!G24</f>
        <v>その他季</v>
      </c>
      <c r="H25" s="523">
        <v>92470</v>
      </c>
      <c r="I25" s="528"/>
      <c r="J25" s="23">
        <f t="shared" si="0"/>
        <v>0</v>
      </c>
      <c r="K25" s="816"/>
      <c r="M25" s="881"/>
      <c r="N25" s="882"/>
    </row>
    <row r="26" spans="1:14" ht="26.25" customHeight="1" x14ac:dyDescent="0.15">
      <c r="A26" s="830">
        <f>A24+1</f>
        <v>9</v>
      </c>
      <c r="B26" s="837" t="str">
        <f>[3]予定価格算出資料!B25</f>
        <v>立石小学校</v>
      </c>
      <c r="C26" s="840">
        <v>91</v>
      </c>
      <c r="D26" s="808"/>
      <c r="E26" s="810">
        <v>100</v>
      </c>
      <c r="F26" s="817">
        <f>12*ROUNDDOWN(C26*D26*((185-E26)/100),2)</f>
        <v>0</v>
      </c>
      <c r="G26" s="516" t="str">
        <f>[3]予定価格算出資料!G25</f>
        <v>夏季</v>
      </c>
      <c r="H26" s="524">
        <v>32274</v>
      </c>
      <c r="I26" s="527"/>
      <c r="J26" s="27">
        <f t="shared" si="0"/>
        <v>0</v>
      </c>
      <c r="K26" s="815">
        <f>ROUNDDOWN(F26+J26+J27,2)</f>
        <v>0</v>
      </c>
      <c r="M26" s="881">
        <f t="shared" ref="M26" si="6">H26+H27</f>
        <v>114346</v>
      </c>
      <c r="N26" s="882"/>
    </row>
    <row r="27" spans="1:14" ht="26.25" customHeight="1" x14ac:dyDescent="0.15">
      <c r="A27" s="831"/>
      <c r="B27" s="874"/>
      <c r="C27" s="842"/>
      <c r="D27" s="809"/>
      <c r="E27" s="811"/>
      <c r="F27" s="818"/>
      <c r="G27" s="513" t="str">
        <f>[3]予定価格算出資料!G26</f>
        <v>その他季</v>
      </c>
      <c r="H27" s="525">
        <v>82072</v>
      </c>
      <c r="I27" s="528"/>
      <c r="J27" s="23">
        <f t="shared" si="0"/>
        <v>0</v>
      </c>
      <c r="K27" s="816"/>
      <c r="M27" s="881"/>
      <c r="N27" s="882"/>
    </row>
    <row r="28" spans="1:14" ht="26.25" customHeight="1" x14ac:dyDescent="0.15">
      <c r="A28" s="830">
        <f>A26+1</f>
        <v>10</v>
      </c>
      <c r="B28" s="837" t="str">
        <f>[3]予定価格算出資料!B27</f>
        <v>三国小学校</v>
      </c>
      <c r="C28" s="840">
        <v>341</v>
      </c>
      <c r="D28" s="808"/>
      <c r="E28" s="810">
        <v>100</v>
      </c>
      <c r="F28" s="817">
        <f>12*ROUNDDOWN(C28*D28*((185-E28)/100),2)</f>
        <v>0</v>
      </c>
      <c r="G28" s="516" t="str">
        <f>[3]予定価格算出資料!G27</f>
        <v>夏季</v>
      </c>
      <c r="H28" s="522">
        <v>103827</v>
      </c>
      <c r="I28" s="527"/>
      <c r="J28" s="27">
        <f t="shared" si="0"/>
        <v>0</v>
      </c>
      <c r="K28" s="815">
        <f>ROUNDDOWN(F28+J28+J29,2)</f>
        <v>0</v>
      </c>
      <c r="M28" s="881">
        <f t="shared" ref="M28" si="7">H28+H29</f>
        <v>322299</v>
      </c>
      <c r="N28" s="882"/>
    </row>
    <row r="29" spans="1:14" ht="26.25" customHeight="1" x14ac:dyDescent="0.15">
      <c r="A29" s="831"/>
      <c r="B29" s="874"/>
      <c r="C29" s="842"/>
      <c r="D29" s="809"/>
      <c r="E29" s="811"/>
      <c r="F29" s="818"/>
      <c r="G29" s="513" t="str">
        <f>[3]予定価格算出資料!G28</f>
        <v>その他季</v>
      </c>
      <c r="H29" s="523">
        <v>218472</v>
      </c>
      <c r="I29" s="528"/>
      <c r="J29" s="23">
        <f t="shared" si="0"/>
        <v>0</v>
      </c>
      <c r="K29" s="816"/>
      <c r="M29" s="881"/>
      <c r="N29" s="882"/>
    </row>
    <row r="30" spans="1:14" ht="26.25" customHeight="1" x14ac:dyDescent="0.15">
      <c r="A30" s="830">
        <f>A28+1</f>
        <v>11</v>
      </c>
      <c r="B30" s="837" t="str">
        <f>[3]予定価格算出資料!B29</f>
        <v>大原小学校</v>
      </c>
      <c r="C30" s="840">
        <v>198</v>
      </c>
      <c r="D30" s="808"/>
      <c r="E30" s="810">
        <v>100</v>
      </c>
      <c r="F30" s="817">
        <f>12*ROUNDDOWN(C30*D30*((185-E30)/100),2)</f>
        <v>0</v>
      </c>
      <c r="G30" s="516" t="str">
        <f>[3]予定価格算出資料!G29</f>
        <v>夏季</v>
      </c>
      <c r="H30" s="522">
        <v>63899</v>
      </c>
      <c r="I30" s="527"/>
      <c r="J30" s="27">
        <f t="shared" si="0"/>
        <v>0</v>
      </c>
      <c r="K30" s="815">
        <f>ROUNDDOWN(F30+J30+J31,2)</f>
        <v>0</v>
      </c>
      <c r="M30" s="881">
        <f t="shared" ref="M30" si="8">H30+H31</f>
        <v>231447</v>
      </c>
      <c r="N30" s="882"/>
    </row>
    <row r="31" spans="1:14" ht="26.25" customHeight="1" x14ac:dyDescent="0.15">
      <c r="A31" s="831"/>
      <c r="B31" s="874"/>
      <c r="C31" s="842"/>
      <c r="D31" s="809"/>
      <c r="E31" s="811"/>
      <c r="F31" s="818"/>
      <c r="G31" s="513" t="str">
        <f>[3]予定価格算出資料!G30</f>
        <v>その他季</v>
      </c>
      <c r="H31" s="523">
        <v>167548</v>
      </c>
      <c r="I31" s="528"/>
      <c r="J31" s="23">
        <f t="shared" si="0"/>
        <v>0</v>
      </c>
      <c r="K31" s="816"/>
      <c r="M31" s="881"/>
      <c r="N31" s="882"/>
    </row>
    <row r="32" spans="1:14" ht="26.25" customHeight="1" x14ac:dyDescent="0.15">
      <c r="A32" s="830">
        <f>A30+1</f>
        <v>12</v>
      </c>
      <c r="B32" s="837" t="s">
        <v>193</v>
      </c>
      <c r="C32" s="840">
        <v>199</v>
      </c>
      <c r="D32" s="808"/>
      <c r="E32" s="810">
        <v>100</v>
      </c>
      <c r="F32" s="817">
        <f>12*ROUNDDOWN(C32*D32*((185-E32)/100),2)</f>
        <v>0</v>
      </c>
      <c r="G32" s="516" t="str">
        <f>[3]予定価格算出資料!G31</f>
        <v>夏季</v>
      </c>
      <c r="H32" s="522">
        <v>51648</v>
      </c>
      <c r="I32" s="527"/>
      <c r="J32" s="27">
        <f t="shared" si="0"/>
        <v>0</v>
      </c>
      <c r="K32" s="815">
        <f>ROUNDDOWN(F32+J32+J33,2)</f>
        <v>0</v>
      </c>
      <c r="M32" s="881">
        <f t="shared" ref="M32" si="9">H32+H33</f>
        <v>172328</v>
      </c>
      <c r="N32" s="882"/>
    </row>
    <row r="33" spans="1:14" ht="26.25" customHeight="1" x14ac:dyDescent="0.15">
      <c r="A33" s="831"/>
      <c r="B33" s="874"/>
      <c r="C33" s="842"/>
      <c r="D33" s="809"/>
      <c r="E33" s="811"/>
      <c r="F33" s="818"/>
      <c r="G33" s="513" t="str">
        <f>[3]予定価格算出資料!G32</f>
        <v>その他季</v>
      </c>
      <c r="H33" s="523">
        <v>120680</v>
      </c>
      <c r="I33" s="528"/>
      <c r="J33" s="23">
        <f t="shared" si="0"/>
        <v>0</v>
      </c>
      <c r="K33" s="816"/>
      <c r="M33" s="881"/>
      <c r="N33" s="882"/>
    </row>
    <row r="34" spans="1:14" ht="26.25" customHeight="1" x14ac:dyDescent="0.15">
      <c r="A34" s="830">
        <v>13</v>
      </c>
      <c r="B34" s="837" t="s">
        <v>194</v>
      </c>
      <c r="C34" s="840">
        <v>282</v>
      </c>
      <c r="D34" s="808"/>
      <c r="E34" s="810">
        <v>100</v>
      </c>
      <c r="F34" s="817">
        <f>12*ROUNDDOWN(C34*D34*((185-E34)/100),2)</f>
        <v>0</v>
      </c>
      <c r="G34" s="526" t="str">
        <f>[3]予定価格算出資料!G33</f>
        <v>夏季</v>
      </c>
      <c r="H34" s="524">
        <v>102677</v>
      </c>
      <c r="I34" s="527"/>
      <c r="J34" s="27">
        <f>ROUNDDOWN(H34*I34,2)</f>
        <v>0</v>
      </c>
      <c r="K34" s="815">
        <f>ROUNDDOWN(F34+J34+J35,2)</f>
        <v>0</v>
      </c>
      <c r="M34" s="881">
        <f t="shared" ref="M34" si="10">H34+H35</f>
        <v>338700</v>
      </c>
      <c r="N34" s="882"/>
    </row>
    <row r="35" spans="1:14" ht="26.25" customHeight="1" x14ac:dyDescent="0.15">
      <c r="A35" s="831"/>
      <c r="B35" s="874"/>
      <c r="C35" s="842"/>
      <c r="D35" s="809"/>
      <c r="E35" s="811"/>
      <c r="F35" s="818"/>
      <c r="G35" s="513" t="str">
        <f>[3]予定価格算出資料!G34</f>
        <v>その他季</v>
      </c>
      <c r="H35" s="525">
        <v>236023</v>
      </c>
      <c r="I35" s="528"/>
      <c r="J35" s="23">
        <f>ROUNDDOWN(H35*I35,2)</f>
        <v>0</v>
      </c>
      <c r="K35" s="816"/>
      <c r="M35" s="881"/>
      <c r="N35" s="882"/>
    </row>
    <row r="36" spans="1:14" ht="26.25" customHeight="1" x14ac:dyDescent="0.15">
      <c r="A36" s="830">
        <v>14</v>
      </c>
      <c r="B36" s="893" t="str">
        <f>[3]予定価格算出資料!B33</f>
        <v>宝城中学校</v>
      </c>
      <c r="C36" s="840">
        <v>71</v>
      </c>
      <c r="D36" s="808"/>
      <c r="E36" s="810">
        <v>100</v>
      </c>
      <c r="F36" s="890">
        <f>12*ROUNDDOWN(C36*D36*((185-E36)/100),2)</f>
        <v>0</v>
      </c>
      <c r="G36" s="516" t="str">
        <f>[3]予定価格算出資料!G33</f>
        <v>夏季</v>
      </c>
      <c r="H36" s="520">
        <v>24964</v>
      </c>
      <c r="I36" s="531"/>
      <c r="J36" s="25">
        <f t="shared" si="0"/>
        <v>0</v>
      </c>
      <c r="K36" s="814">
        <f>ROUNDDOWN(F36+J36+J37,2)</f>
        <v>0</v>
      </c>
      <c r="M36" s="881">
        <f t="shared" ref="M36" si="11">H36+H37</f>
        <v>86296</v>
      </c>
      <c r="N36" s="882"/>
    </row>
    <row r="37" spans="1:14" ht="26.25" customHeight="1" x14ac:dyDescent="0.15">
      <c r="A37" s="831"/>
      <c r="B37" s="894"/>
      <c r="C37" s="842"/>
      <c r="D37" s="809"/>
      <c r="E37" s="811"/>
      <c r="F37" s="818"/>
      <c r="G37" s="513" t="str">
        <f>[3]予定価格算出資料!G34</f>
        <v>その他季</v>
      </c>
      <c r="H37" s="521">
        <v>61332</v>
      </c>
      <c r="I37" s="532"/>
      <c r="J37" s="70">
        <f t="shared" si="0"/>
        <v>0</v>
      </c>
      <c r="K37" s="815"/>
      <c r="M37" s="881"/>
      <c r="N37" s="882"/>
    </row>
    <row r="38" spans="1:14" ht="26.25" customHeight="1" x14ac:dyDescent="0.15">
      <c r="A38" s="830">
        <v>15</v>
      </c>
      <c r="B38" s="893" t="str">
        <f>[3]予定価格算出資料!B35</f>
        <v>大原中学校</v>
      </c>
      <c r="C38" s="840">
        <v>151</v>
      </c>
      <c r="D38" s="808"/>
      <c r="E38" s="810">
        <v>100</v>
      </c>
      <c r="F38" s="817">
        <f>12*ROUNDDOWN(C38*D38*((185-E38)/100),2)</f>
        <v>0</v>
      </c>
      <c r="G38" s="516" t="str">
        <f>[3]予定価格算出資料!G35</f>
        <v>夏季</v>
      </c>
      <c r="H38" s="522">
        <v>51793</v>
      </c>
      <c r="I38" s="527"/>
      <c r="J38" s="27">
        <f t="shared" si="0"/>
        <v>0</v>
      </c>
      <c r="K38" s="815">
        <f>ROUNDDOWN(F38+J38+J39,2)</f>
        <v>0</v>
      </c>
      <c r="M38" s="881">
        <f t="shared" ref="M38" si="12">H38+H39</f>
        <v>158662</v>
      </c>
      <c r="N38" s="882"/>
    </row>
    <row r="39" spans="1:14" ht="26.25" customHeight="1" x14ac:dyDescent="0.15">
      <c r="A39" s="831"/>
      <c r="B39" s="894"/>
      <c r="C39" s="842"/>
      <c r="D39" s="809"/>
      <c r="E39" s="811"/>
      <c r="F39" s="818"/>
      <c r="G39" s="513" t="str">
        <f>[3]予定価格算出資料!G36</f>
        <v>その他季</v>
      </c>
      <c r="H39" s="523">
        <v>106869</v>
      </c>
      <c r="I39" s="528"/>
      <c r="J39" s="23">
        <f t="shared" si="0"/>
        <v>0</v>
      </c>
      <c r="K39" s="816"/>
      <c r="M39" s="881"/>
      <c r="N39" s="882"/>
    </row>
    <row r="40" spans="1:14" ht="26.25" customHeight="1" x14ac:dyDescent="0.15">
      <c r="A40" s="830">
        <v>16</v>
      </c>
      <c r="B40" s="893" t="str">
        <f>[3]予定価格算出資料!B37</f>
        <v>立石中学校</v>
      </c>
      <c r="C40" s="840">
        <v>66</v>
      </c>
      <c r="D40" s="808"/>
      <c r="E40" s="810">
        <v>100</v>
      </c>
      <c r="F40" s="817">
        <f>12*ROUNDDOWN(C40*D40*((185-E40)/100),2)</f>
        <v>0</v>
      </c>
      <c r="G40" s="516" t="str">
        <f>[3]予定価格算出資料!G37</f>
        <v>夏季</v>
      </c>
      <c r="H40" s="522">
        <v>21759</v>
      </c>
      <c r="I40" s="527"/>
      <c r="J40" s="27">
        <f t="shared" si="0"/>
        <v>0</v>
      </c>
      <c r="K40" s="815">
        <f>ROUNDDOWN(F40+J40+J41,2)</f>
        <v>0</v>
      </c>
      <c r="M40" s="881">
        <f t="shared" ref="M40" si="13">H40+H41</f>
        <v>77914</v>
      </c>
      <c r="N40" s="882"/>
    </row>
    <row r="41" spans="1:14" ht="26.25" customHeight="1" x14ac:dyDescent="0.15">
      <c r="A41" s="831"/>
      <c r="B41" s="894"/>
      <c r="C41" s="842"/>
      <c r="D41" s="809"/>
      <c r="E41" s="811"/>
      <c r="F41" s="818"/>
      <c r="G41" s="513" t="str">
        <f>[3]予定価格算出資料!G38</f>
        <v>その他季</v>
      </c>
      <c r="H41" s="523">
        <v>56155</v>
      </c>
      <c r="I41" s="528"/>
      <c r="J41" s="23">
        <f t="shared" si="0"/>
        <v>0</v>
      </c>
      <c r="K41" s="816"/>
      <c r="M41" s="881"/>
      <c r="N41" s="882"/>
    </row>
    <row r="42" spans="1:14" ht="26.25" customHeight="1" x14ac:dyDescent="0.15">
      <c r="A42" s="830">
        <f>A40+1</f>
        <v>17</v>
      </c>
      <c r="B42" s="893" t="str">
        <f>[3]予定価格算出資料!B39</f>
        <v>小郡中学校</v>
      </c>
      <c r="C42" s="840">
        <v>115</v>
      </c>
      <c r="D42" s="808"/>
      <c r="E42" s="810">
        <v>100</v>
      </c>
      <c r="F42" s="817">
        <f>12*ROUNDDOWN(C42*D42*((185-E42)/100),2)</f>
        <v>0</v>
      </c>
      <c r="G42" s="516" t="str">
        <f>[3]予定価格算出資料!G39</f>
        <v>夏季</v>
      </c>
      <c r="H42" s="522">
        <v>43519</v>
      </c>
      <c r="I42" s="527"/>
      <c r="J42" s="27">
        <f t="shared" si="0"/>
        <v>0</v>
      </c>
      <c r="K42" s="815">
        <f>ROUNDDOWN(F42+J42+J43,2)</f>
        <v>0</v>
      </c>
      <c r="M42" s="881">
        <f t="shared" ref="M42" si="14">H42+H43</f>
        <v>134058</v>
      </c>
      <c r="N42" s="882"/>
    </row>
    <row r="43" spans="1:14" ht="26.25" customHeight="1" x14ac:dyDescent="0.15">
      <c r="A43" s="831"/>
      <c r="B43" s="894"/>
      <c r="C43" s="842"/>
      <c r="D43" s="809"/>
      <c r="E43" s="811"/>
      <c r="F43" s="818"/>
      <c r="G43" s="513" t="str">
        <f>[3]予定価格算出資料!G40</f>
        <v>その他季</v>
      </c>
      <c r="H43" s="523">
        <v>90539</v>
      </c>
      <c r="I43" s="528"/>
      <c r="J43" s="23">
        <f t="shared" si="0"/>
        <v>0</v>
      </c>
      <c r="K43" s="816"/>
      <c r="M43" s="881"/>
      <c r="N43" s="882"/>
    </row>
    <row r="44" spans="1:14" ht="26.25" customHeight="1" x14ac:dyDescent="0.15">
      <c r="A44" s="830">
        <f>A42+1</f>
        <v>18</v>
      </c>
      <c r="B44" s="893" t="str">
        <f>[3]予定価格算出資料!B41</f>
        <v>三国中学校</v>
      </c>
      <c r="C44" s="840">
        <v>224</v>
      </c>
      <c r="D44" s="808"/>
      <c r="E44" s="810">
        <v>100</v>
      </c>
      <c r="F44" s="817">
        <f>12*ROUNDDOWN(C44*D44*((185-E44)/100),2)</f>
        <v>0</v>
      </c>
      <c r="G44" s="516" t="str">
        <f>[3]予定価格算出資料!G41</f>
        <v>夏季</v>
      </c>
      <c r="H44" s="522">
        <v>91788</v>
      </c>
      <c r="I44" s="527"/>
      <c r="J44" s="27">
        <f t="shared" si="0"/>
        <v>0</v>
      </c>
      <c r="K44" s="815">
        <f>ROUNDDOWN(F44+J44+J45,2)</f>
        <v>0</v>
      </c>
      <c r="M44" s="881">
        <f t="shared" ref="M44" si="15">H44+H45</f>
        <v>275302</v>
      </c>
      <c r="N44" s="882"/>
    </row>
    <row r="45" spans="1:14" ht="26.25" customHeight="1" x14ac:dyDescent="0.15">
      <c r="A45" s="831"/>
      <c r="B45" s="894"/>
      <c r="C45" s="842"/>
      <c r="D45" s="809"/>
      <c r="E45" s="811"/>
      <c r="F45" s="818"/>
      <c r="G45" s="513" t="str">
        <f>[3]予定価格算出資料!G42</f>
        <v>その他季</v>
      </c>
      <c r="H45" s="523">
        <v>183514</v>
      </c>
      <c r="I45" s="528"/>
      <c r="J45" s="23">
        <f t="shared" si="0"/>
        <v>0</v>
      </c>
      <c r="K45" s="816"/>
      <c r="M45" s="881"/>
      <c r="N45" s="882"/>
    </row>
    <row r="46" spans="1:14" ht="26.25" customHeight="1" x14ac:dyDescent="0.15">
      <c r="A46" s="830">
        <f>A44+1</f>
        <v>19</v>
      </c>
      <c r="B46" s="837" t="str">
        <f>[3]予定価格算出資料!B43</f>
        <v>小郡市生涯学習センター</v>
      </c>
      <c r="C46" s="840">
        <v>136</v>
      </c>
      <c r="D46" s="808"/>
      <c r="E46" s="810">
        <v>100</v>
      </c>
      <c r="F46" s="890">
        <f>12*ROUNDDOWN(C46*D46*((185-E46)/100),2)</f>
        <v>0</v>
      </c>
      <c r="G46" s="517" t="str">
        <f>[3]予定価格算出資料!G43</f>
        <v>夏季平日</v>
      </c>
      <c r="H46" s="520">
        <v>47473</v>
      </c>
      <c r="I46" s="531"/>
      <c r="J46" s="25">
        <f t="shared" si="0"/>
        <v>0</v>
      </c>
      <c r="K46" s="814">
        <f>ROUNDDOWN(F46+J46+J47+J48+J49,2)</f>
        <v>0</v>
      </c>
      <c r="M46" s="881">
        <f>H46+H47+H48+H49</f>
        <v>253026</v>
      </c>
      <c r="N46" s="882"/>
    </row>
    <row r="47" spans="1:14" ht="26.25" customHeight="1" x14ac:dyDescent="0.15">
      <c r="A47" s="836"/>
      <c r="B47" s="838"/>
      <c r="C47" s="841"/>
      <c r="D47" s="843"/>
      <c r="E47" s="820"/>
      <c r="F47" s="817"/>
      <c r="G47" s="518" t="str">
        <f>[3]予定価格算出資料!G44</f>
        <v>夏季休日</v>
      </c>
      <c r="H47" s="521">
        <v>26720</v>
      </c>
      <c r="I47" s="532"/>
      <c r="J47" s="70">
        <f t="shared" si="0"/>
        <v>0</v>
      </c>
      <c r="K47" s="819"/>
      <c r="M47" s="881"/>
      <c r="N47" s="882"/>
    </row>
    <row r="48" spans="1:14" ht="26.25" customHeight="1" x14ac:dyDescent="0.15">
      <c r="A48" s="836"/>
      <c r="B48" s="838" t="e">
        <f>[3]予定価格算出資料!B45</f>
        <v>#REF!</v>
      </c>
      <c r="C48" s="841"/>
      <c r="D48" s="843"/>
      <c r="E48" s="820"/>
      <c r="F48" s="817"/>
      <c r="G48" s="518" t="str">
        <f>[3]予定価格算出資料!G45</f>
        <v>その他季平日</v>
      </c>
      <c r="H48" s="521">
        <v>118291</v>
      </c>
      <c r="I48" s="532"/>
      <c r="J48" s="70">
        <f t="shared" si="0"/>
        <v>0</v>
      </c>
      <c r="K48" s="819"/>
      <c r="M48" s="881"/>
      <c r="N48" s="882"/>
    </row>
    <row r="49" spans="1:14" ht="26.25" customHeight="1" x14ac:dyDescent="0.15">
      <c r="A49" s="831"/>
      <c r="B49" s="874"/>
      <c r="C49" s="842"/>
      <c r="D49" s="809"/>
      <c r="E49" s="811"/>
      <c r="F49" s="818"/>
      <c r="G49" s="519" t="str">
        <f>[3]予定価格算出資料!G46</f>
        <v>その他季休日</v>
      </c>
      <c r="H49" s="523">
        <v>60542</v>
      </c>
      <c r="I49" s="528"/>
      <c r="J49" s="23">
        <f t="shared" si="0"/>
        <v>0</v>
      </c>
      <c r="K49" s="815"/>
      <c r="M49" s="881"/>
      <c r="N49" s="882"/>
    </row>
    <row r="50" spans="1:14" ht="26.25" customHeight="1" x14ac:dyDescent="0.15">
      <c r="A50" s="830">
        <f>A46+1</f>
        <v>20</v>
      </c>
      <c r="B50" s="837" t="str">
        <f>[3]予定価格算出資料!B47</f>
        <v>小郡市文化会館</v>
      </c>
      <c r="C50" s="840">
        <v>428</v>
      </c>
      <c r="D50" s="808"/>
      <c r="E50" s="810">
        <v>100</v>
      </c>
      <c r="F50" s="890">
        <f>12*ROUNDDOWN(C50*D50*((185-E50)/100),2)</f>
        <v>0</v>
      </c>
      <c r="G50" s="517" t="str">
        <f>[3]予定価格算出資料!G47</f>
        <v>夏季平日</v>
      </c>
      <c r="H50" s="520">
        <v>57733</v>
      </c>
      <c r="I50" s="531"/>
      <c r="J50" s="25">
        <f t="shared" si="0"/>
        <v>0</v>
      </c>
      <c r="K50" s="814">
        <f>ROUNDDOWN(F50+J50+J51+J52+J53,2)</f>
        <v>0</v>
      </c>
      <c r="M50" s="881">
        <f>H50+H51+H52+H53</f>
        <v>317189</v>
      </c>
      <c r="N50" s="882"/>
    </row>
    <row r="51" spans="1:14" ht="26.25" customHeight="1" x14ac:dyDescent="0.15">
      <c r="A51" s="836"/>
      <c r="B51" s="838"/>
      <c r="C51" s="841"/>
      <c r="D51" s="843"/>
      <c r="E51" s="820"/>
      <c r="F51" s="817"/>
      <c r="G51" s="518" t="str">
        <f>[3]予定価格算出資料!G48</f>
        <v>夏季休日</v>
      </c>
      <c r="H51" s="521">
        <v>49537</v>
      </c>
      <c r="I51" s="533"/>
      <c r="J51" s="70">
        <f t="shared" si="0"/>
        <v>0</v>
      </c>
      <c r="K51" s="819"/>
      <c r="M51" s="881"/>
      <c r="N51" s="882"/>
    </row>
    <row r="52" spans="1:14" ht="26.25" customHeight="1" x14ac:dyDescent="0.15">
      <c r="A52" s="836"/>
      <c r="B52" s="838" t="e">
        <f>[3]予定価格算出資料!B49</f>
        <v>#REF!</v>
      </c>
      <c r="C52" s="841"/>
      <c r="D52" s="843"/>
      <c r="E52" s="820"/>
      <c r="F52" s="817"/>
      <c r="G52" s="518" t="str">
        <f>[3]予定価格算出資料!G49</f>
        <v>その他季平日</v>
      </c>
      <c r="H52" s="521">
        <v>121469</v>
      </c>
      <c r="I52" s="532"/>
      <c r="J52" s="70">
        <f t="shared" si="0"/>
        <v>0</v>
      </c>
      <c r="K52" s="819"/>
      <c r="M52" s="881"/>
      <c r="N52" s="882"/>
    </row>
    <row r="53" spans="1:14" ht="26.25" customHeight="1" x14ac:dyDescent="0.15">
      <c r="A53" s="831"/>
      <c r="B53" s="874"/>
      <c r="C53" s="842"/>
      <c r="D53" s="809"/>
      <c r="E53" s="811"/>
      <c r="F53" s="818"/>
      <c r="G53" s="519" t="str">
        <f>[3]予定価格算出資料!G50</f>
        <v>その他季休日</v>
      </c>
      <c r="H53" s="523">
        <v>88450</v>
      </c>
      <c r="I53" s="532"/>
      <c r="J53" s="23">
        <f t="shared" si="0"/>
        <v>0</v>
      </c>
      <c r="K53" s="815"/>
      <c r="M53" s="881"/>
      <c r="N53" s="882"/>
    </row>
    <row r="54" spans="1:14" ht="26.25" customHeight="1" x14ac:dyDescent="0.15">
      <c r="A54" s="830">
        <f>A50+1</f>
        <v>21</v>
      </c>
      <c r="B54" s="837" t="str">
        <f>[3]予定価格算出資料!B51</f>
        <v>味坂校区コミュニティセンター</v>
      </c>
      <c r="C54" s="840">
        <v>30</v>
      </c>
      <c r="D54" s="808"/>
      <c r="E54" s="810">
        <v>100</v>
      </c>
      <c r="F54" s="890">
        <f>12*ROUNDDOWN(C54*D54*((185-E54)/100),2)</f>
        <v>0</v>
      </c>
      <c r="G54" s="516" t="str">
        <f>[3]予定価格算出資料!G51</f>
        <v>夏季</v>
      </c>
      <c r="H54" s="520">
        <v>7511</v>
      </c>
      <c r="I54" s="531"/>
      <c r="J54" s="25">
        <f>ROUNDDOWN(H54*I54,2)</f>
        <v>0</v>
      </c>
      <c r="K54" s="814">
        <f>ROUNDDOWN(F54+J54+J55,2)</f>
        <v>0</v>
      </c>
      <c r="M54" s="881">
        <f>H54+H55</f>
        <v>23627</v>
      </c>
      <c r="N54" s="882"/>
    </row>
    <row r="55" spans="1:14" ht="26.25" customHeight="1" x14ac:dyDescent="0.15">
      <c r="A55" s="831"/>
      <c r="B55" s="874"/>
      <c r="C55" s="842"/>
      <c r="D55" s="809"/>
      <c r="E55" s="811"/>
      <c r="F55" s="818"/>
      <c r="G55" s="513" t="str">
        <f>[3]予定価格算出資料!G52</f>
        <v>その他季</v>
      </c>
      <c r="H55" s="523">
        <v>16116</v>
      </c>
      <c r="I55" s="528"/>
      <c r="J55" s="23">
        <f>ROUNDDOWN(H55*I55,2)</f>
        <v>0</v>
      </c>
      <c r="K55" s="815"/>
      <c r="M55" s="881"/>
      <c r="N55" s="882"/>
    </row>
    <row r="56" spans="1:14" ht="26.25" customHeight="1" x14ac:dyDescent="0.15">
      <c r="A56" s="830">
        <f>A54+1</f>
        <v>22</v>
      </c>
      <c r="B56" s="837" t="str">
        <f>[3]予定価格算出資料!B53</f>
        <v>御原校区コミュニティセンター</v>
      </c>
      <c r="C56" s="840">
        <v>31</v>
      </c>
      <c r="D56" s="808"/>
      <c r="E56" s="810">
        <v>100</v>
      </c>
      <c r="F56" s="890">
        <f>12*ROUNDDOWN(C56*D56*((185-E56)/100),2)</f>
        <v>0</v>
      </c>
      <c r="G56" s="516" t="str">
        <f>[3]予定価格算出資料!G53</f>
        <v>夏季</v>
      </c>
      <c r="H56" s="520">
        <v>7597</v>
      </c>
      <c r="I56" s="531"/>
      <c r="J56" s="25">
        <f t="shared" si="0"/>
        <v>0</v>
      </c>
      <c r="K56" s="814">
        <f>ROUNDDOWN(F56+J56+J57,2)</f>
        <v>0</v>
      </c>
      <c r="M56" s="881">
        <f t="shared" ref="M56" si="16">H56+H57</f>
        <v>22631</v>
      </c>
      <c r="N56" s="882"/>
    </row>
    <row r="57" spans="1:14" ht="26.25" customHeight="1" x14ac:dyDescent="0.15">
      <c r="A57" s="831"/>
      <c r="B57" s="874"/>
      <c r="C57" s="842"/>
      <c r="D57" s="809"/>
      <c r="E57" s="811"/>
      <c r="F57" s="818"/>
      <c r="G57" s="513" t="str">
        <f>[3]予定価格算出資料!G54</f>
        <v>その他季</v>
      </c>
      <c r="H57" s="523">
        <v>15034</v>
      </c>
      <c r="I57" s="528"/>
      <c r="J57" s="23">
        <f t="shared" si="0"/>
        <v>0</v>
      </c>
      <c r="K57" s="815"/>
      <c r="M57" s="881"/>
      <c r="N57" s="882"/>
    </row>
    <row r="58" spans="1:14" ht="26.25" customHeight="1" x14ac:dyDescent="0.15">
      <c r="A58" s="830">
        <f>A56+1</f>
        <v>23</v>
      </c>
      <c r="B58" s="837" t="str">
        <f>[3]予定価格算出資料!B55</f>
        <v>立石校区コミュニティセンター</v>
      </c>
      <c r="C58" s="840">
        <v>26</v>
      </c>
      <c r="D58" s="808"/>
      <c r="E58" s="810">
        <v>100</v>
      </c>
      <c r="F58" s="890">
        <f>12*ROUNDDOWN(C58*D58*((185-E58)/100),2)</f>
        <v>0</v>
      </c>
      <c r="G58" s="516" t="str">
        <f>[3]予定価格算出資料!G55</f>
        <v>夏季</v>
      </c>
      <c r="H58" s="520">
        <v>7695</v>
      </c>
      <c r="I58" s="531"/>
      <c r="J58" s="25">
        <f t="shared" si="0"/>
        <v>0</v>
      </c>
      <c r="K58" s="814">
        <f>ROUNDDOWN(F58+J58+J59,2)</f>
        <v>0</v>
      </c>
      <c r="M58" s="881">
        <f t="shared" ref="M58" si="17">H58+H59</f>
        <v>25663</v>
      </c>
      <c r="N58" s="882"/>
    </row>
    <row r="59" spans="1:14" ht="26.25" customHeight="1" x14ac:dyDescent="0.15">
      <c r="A59" s="831"/>
      <c r="B59" s="874"/>
      <c r="C59" s="842"/>
      <c r="D59" s="809"/>
      <c r="E59" s="811"/>
      <c r="F59" s="818"/>
      <c r="G59" s="513" t="str">
        <f>[3]予定価格算出資料!G56</f>
        <v>その他季</v>
      </c>
      <c r="H59" s="523">
        <v>17968</v>
      </c>
      <c r="I59" s="528"/>
      <c r="J59" s="23">
        <f t="shared" si="0"/>
        <v>0</v>
      </c>
      <c r="K59" s="815"/>
      <c r="M59" s="881"/>
      <c r="N59" s="882"/>
    </row>
    <row r="60" spans="1:14" ht="26.25" customHeight="1" x14ac:dyDescent="0.15">
      <c r="A60" s="830">
        <f>A58+1</f>
        <v>24</v>
      </c>
      <c r="B60" s="837" t="str">
        <f>[3]予定価格算出資料!B57</f>
        <v>三国校区コミュニティセンター</v>
      </c>
      <c r="C60" s="840">
        <v>67</v>
      </c>
      <c r="D60" s="808"/>
      <c r="E60" s="810">
        <v>100</v>
      </c>
      <c r="F60" s="890">
        <f>12*ROUNDDOWN(C60*D60*((185-E60)/100),2)</f>
        <v>0</v>
      </c>
      <c r="G60" s="516" t="str">
        <f>[3]予定価格算出資料!G57</f>
        <v>夏季</v>
      </c>
      <c r="H60" s="520">
        <v>22103</v>
      </c>
      <c r="I60" s="531"/>
      <c r="J60" s="25">
        <f t="shared" si="0"/>
        <v>0</v>
      </c>
      <c r="K60" s="814">
        <f>ROUNDDOWN(F60+J60+J61,2)</f>
        <v>0</v>
      </c>
      <c r="M60" s="881">
        <f t="shared" ref="M60" si="18">H60+H61</f>
        <v>57521</v>
      </c>
      <c r="N60" s="882"/>
    </row>
    <row r="61" spans="1:14" ht="26.25" customHeight="1" x14ac:dyDescent="0.15">
      <c r="A61" s="831"/>
      <c r="B61" s="874"/>
      <c r="C61" s="842"/>
      <c r="D61" s="809"/>
      <c r="E61" s="811"/>
      <c r="F61" s="818"/>
      <c r="G61" s="513" t="str">
        <f>[3]予定価格算出資料!G58</f>
        <v>その他季</v>
      </c>
      <c r="H61" s="523">
        <v>35418</v>
      </c>
      <c r="I61" s="528"/>
      <c r="J61" s="23">
        <f t="shared" si="0"/>
        <v>0</v>
      </c>
      <c r="K61" s="815"/>
      <c r="M61" s="881"/>
      <c r="N61" s="882"/>
    </row>
    <row r="62" spans="1:14" ht="26.25" customHeight="1" x14ac:dyDescent="0.15">
      <c r="A62" s="830">
        <f>A60+1</f>
        <v>25</v>
      </c>
      <c r="B62" s="837" t="str">
        <f>[3]予定価格算出資料!B59</f>
        <v>小郡校区コミュニティセンター</v>
      </c>
      <c r="C62" s="840">
        <v>37</v>
      </c>
      <c r="D62" s="808"/>
      <c r="E62" s="810">
        <v>100</v>
      </c>
      <c r="F62" s="890">
        <f>12*ROUNDDOWN(C62*D62*((185-E62)/100),2)</f>
        <v>0</v>
      </c>
      <c r="G62" s="516" t="str">
        <f>[3]予定価格算出資料!G59</f>
        <v>夏季</v>
      </c>
      <c r="H62" s="520">
        <v>9267</v>
      </c>
      <c r="I62" s="531"/>
      <c r="J62" s="25">
        <f t="shared" si="0"/>
        <v>0</v>
      </c>
      <c r="K62" s="814">
        <f>ROUNDDOWN(F62+J62+J63,2)</f>
        <v>0</v>
      </c>
      <c r="M62" s="881">
        <f t="shared" ref="M62" si="19">H62+H63</f>
        <v>30578</v>
      </c>
      <c r="N62" s="882"/>
    </row>
    <row r="63" spans="1:14" ht="26.25" customHeight="1" x14ac:dyDescent="0.15">
      <c r="A63" s="831"/>
      <c r="B63" s="874"/>
      <c r="C63" s="842"/>
      <c r="D63" s="809"/>
      <c r="E63" s="811"/>
      <c r="F63" s="818"/>
      <c r="G63" s="513" t="str">
        <f>[3]予定価格算出資料!G60</f>
        <v>その他季</v>
      </c>
      <c r="H63" s="523">
        <v>21311</v>
      </c>
      <c r="I63" s="528"/>
      <c r="J63" s="23">
        <f t="shared" si="0"/>
        <v>0</v>
      </c>
      <c r="K63" s="815"/>
      <c r="M63" s="881"/>
      <c r="N63" s="882"/>
    </row>
    <row r="64" spans="1:14" ht="26.25" customHeight="1" x14ac:dyDescent="0.15">
      <c r="A64" s="830">
        <f>A62+1</f>
        <v>26</v>
      </c>
      <c r="B64" s="837" t="str">
        <f>[3]予定価格算出資料!B61</f>
        <v>東野校区コミュニティセンター</v>
      </c>
      <c r="C64" s="840">
        <v>81</v>
      </c>
      <c r="D64" s="808"/>
      <c r="E64" s="810">
        <v>100</v>
      </c>
      <c r="F64" s="890">
        <f>12*ROUNDDOWN(C64*D64*((185-E64)/100),2)</f>
        <v>0</v>
      </c>
      <c r="G64" s="516" t="str">
        <f>[3]予定価格算出資料!G61</f>
        <v>夏季</v>
      </c>
      <c r="H64" s="520">
        <v>22197</v>
      </c>
      <c r="I64" s="531"/>
      <c r="J64" s="25">
        <f t="shared" si="0"/>
        <v>0</v>
      </c>
      <c r="K64" s="814">
        <f>ROUNDDOWN(F64+J64+J65,2)</f>
        <v>0</v>
      </c>
      <c r="M64" s="881">
        <f t="shared" ref="M64" si="20">H64+H65</f>
        <v>73064</v>
      </c>
      <c r="N64" s="882"/>
    </row>
    <row r="65" spans="1:18" ht="26.25" customHeight="1" x14ac:dyDescent="0.15">
      <c r="A65" s="831"/>
      <c r="B65" s="874"/>
      <c r="C65" s="842"/>
      <c r="D65" s="809"/>
      <c r="E65" s="811"/>
      <c r="F65" s="818"/>
      <c r="G65" s="513" t="str">
        <f>[3]予定価格算出資料!G62</f>
        <v>その他季</v>
      </c>
      <c r="H65" s="523">
        <v>50867</v>
      </c>
      <c r="I65" s="528"/>
      <c r="J65" s="23">
        <f t="shared" si="0"/>
        <v>0</v>
      </c>
      <c r="K65" s="815"/>
      <c r="M65" s="881"/>
      <c r="N65" s="882"/>
    </row>
    <row r="66" spans="1:18" ht="26.25" customHeight="1" x14ac:dyDescent="0.15">
      <c r="A66" s="830">
        <f>A64+1</f>
        <v>27</v>
      </c>
      <c r="B66" s="837" t="str">
        <f>[3]予定価格算出資料!B63</f>
        <v>大原校区コミュニティセンター</v>
      </c>
      <c r="C66" s="840">
        <v>51</v>
      </c>
      <c r="D66" s="808"/>
      <c r="E66" s="810">
        <v>100</v>
      </c>
      <c r="F66" s="890">
        <f>12*ROUNDDOWN(C66*D66*((185-E66)/100),2)</f>
        <v>0</v>
      </c>
      <c r="G66" s="516" t="str">
        <f>[3]予定価格算出資料!G63</f>
        <v>夏季</v>
      </c>
      <c r="H66" s="520">
        <v>13025</v>
      </c>
      <c r="I66" s="531"/>
      <c r="J66" s="25">
        <f t="shared" si="0"/>
        <v>0</v>
      </c>
      <c r="K66" s="814">
        <f>ROUNDDOWN(F66+J66+J67,2)</f>
        <v>0</v>
      </c>
      <c r="M66" s="881">
        <f t="shared" ref="M66" si="21">H66+H67</f>
        <v>37358</v>
      </c>
      <c r="N66" s="882"/>
    </row>
    <row r="67" spans="1:18" ht="26.25" customHeight="1" x14ac:dyDescent="0.15">
      <c r="A67" s="831"/>
      <c r="B67" s="874"/>
      <c r="C67" s="842"/>
      <c r="D67" s="809"/>
      <c r="E67" s="811"/>
      <c r="F67" s="818"/>
      <c r="G67" s="513" t="str">
        <f>[3]予定価格算出資料!G64</f>
        <v>その他季</v>
      </c>
      <c r="H67" s="523">
        <v>24333</v>
      </c>
      <c r="I67" s="528"/>
      <c r="J67" s="23">
        <f t="shared" si="0"/>
        <v>0</v>
      </c>
      <c r="K67" s="815"/>
      <c r="M67" s="881"/>
      <c r="N67" s="882"/>
    </row>
    <row r="68" spans="1:18" ht="26.25" hidden="1" customHeight="1" x14ac:dyDescent="0.15">
      <c r="A68" s="830">
        <f>A66+1</f>
        <v>28</v>
      </c>
      <c r="B68" s="837" t="str">
        <f>[3]予定価格算出資料!B65</f>
        <v>小郡市体育館</v>
      </c>
      <c r="C68" s="840">
        <v>0</v>
      </c>
      <c r="D68" s="808"/>
      <c r="E68" s="810">
        <v>100</v>
      </c>
      <c r="F68" s="890">
        <f>12*ROUNDDOWN(C68*D68*((185-E68)/100),2)</f>
        <v>0</v>
      </c>
      <c r="G68" s="516" t="str">
        <f>[3]予定価格算出資料!G65</f>
        <v>夏季</v>
      </c>
      <c r="H68" s="520">
        <v>0</v>
      </c>
      <c r="I68" s="531"/>
      <c r="J68" s="25">
        <f t="shared" si="0"/>
        <v>0</v>
      </c>
      <c r="K68" s="814">
        <f>ROUNDDOWN(F68+J68+J69,2)</f>
        <v>0</v>
      </c>
      <c r="M68" s="881">
        <f t="shared" ref="M68" si="22">H68+H69</f>
        <v>0</v>
      </c>
      <c r="N68" s="882"/>
    </row>
    <row r="69" spans="1:18" ht="26.25" hidden="1" customHeight="1" x14ac:dyDescent="0.15">
      <c r="A69" s="831"/>
      <c r="B69" s="874"/>
      <c r="C69" s="842"/>
      <c r="D69" s="809"/>
      <c r="E69" s="811"/>
      <c r="F69" s="818"/>
      <c r="G69" s="513" t="str">
        <f>[3]予定価格算出資料!G66</f>
        <v>その他季</v>
      </c>
      <c r="H69" s="523">
        <v>0</v>
      </c>
      <c r="I69" s="528"/>
      <c r="J69" s="23">
        <f t="shared" si="0"/>
        <v>0</v>
      </c>
      <c r="K69" s="815"/>
      <c r="M69" s="881"/>
      <c r="N69" s="882"/>
    </row>
    <row r="70" spans="1:18" ht="26.25" customHeight="1" x14ac:dyDescent="0.15">
      <c r="A70" s="830">
        <v>28</v>
      </c>
      <c r="B70" s="837" t="str">
        <f>[3]予定価格算出資料!B67</f>
        <v>小郡市埋蔵文化財調査センター</v>
      </c>
      <c r="C70" s="840">
        <v>64</v>
      </c>
      <c r="D70" s="808"/>
      <c r="E70" s="810">
        <v>100</v>
      </c>
      <c r="F70" s="890">
        <f>12*ROUNDDOWN(C70*D70*((185-E70)/100),2)</f>
        <v>0</v>
      </c>
      <c r="G70" s="516" t="str">
        <f>[3]予定価格算出資料!G67</f>
        <v>夏季</v>
      </c>
      <c r="H70" s="520">
        <v>19283</v>
      </c>
      <c r="I70" s="531"/>
      <c r="J70" s="25">
        <f t="shared" si="0"/>
        <v>0</v>
      </c>
      <c r="K70" s="814">
        <f>ROUNDDOWN(F70+J70+J71,2)</f>
        <v>0</v>
      </c>
      <c r="M70" s="881">
        <f t="shared" ref="M70" si="23">H70+H71</f>
        <v>61591</v>
      </c>
      <c r="N70" s="882"/>
    </row>
    <row r="71" spans="1:18" ht="26.25" customHeight="1" x14ac:dyDescent="0.15">
      <c r="A71" s="831"/>
      <c r="B71" s="874"/>
      <c r="C71" s="842"/>
      <c r="D71" s="809"/>
      <c r="E71" s="811"/>
      <c r="F71" s="818"/>
      <c r="G71" s="513" t="str">
        <f>[3]予定価格算出資料!G68</f>
        <v>その他季</v>
      </c>
      <c r="H71" s="523">
        <v>42308</v>
      </c>
      <c r="I71" s="528"/>
      <c r="J71" s="23">
        <f t="shared" si="0"/>
        <v>0</v>
      </c>
      <c r="K71" s="815"/>
      <c r="M71" s="881"/>
      <c r="N71" s="882"/>
    </row>
    <row r="72" spans="1:18" ht="26.25" hidden="1" customHeight="1" x14ac:dyDescent="0.15">
      <c r="A72" s="830">
        <f>A70+1</f>
        <v>29</v>
      </c>
      <c r="B72" s="837" t="str">
        <f>[3]予定価格算出資料!B69</f>
        <v>給食センター</v>
      </c>
      <c r="C72" s="840">
        <v>0</v>
      </c>
      <c r="D72" s="808"/>
      <c r="E72" s="810">
        <v>100</v>
      </c>
      <c r="F72" s="890">
        <f>12*ROUNDDOWN(C72*D72*((185-E72)/100),2)</f>
        <v>0</v>
      </c>
      <c r="G72" s="516" t="str">
        <f>[3]予定価格算出資料!G69</f>
        <v>夏季</v>
      </c>
      <c r="H72" s="520">
        <v>0</v>
      </c>
      <c r="I72" s="531"/>
      <c r="J72" s="25">
        <f t="shared" si="0"/>
        <v>0</v>
      </c>
      <c r="K72" s="814">
        <f>ROUNDDOWN(F72+J72+J73,2)</f>
        <v>0</v>
      </c>
      <c r="M72" s="881">
        <f t="shared" ref="M72" si="24">H72+H73</f>
        <v>0</v>
      </c>
      <c r="N72" s="882"/>
    </row>
    <row r="73" spans="1:18" ht="26.25" hidden="1" customHeight="1" x14ac:dyDescent="0.15">
      <c r="A73" s="831"/>
      <c r="B73" s="874"/>
      <c r="C73" s="842"/>
      <c r="D73" s="809"/>
      <c r="E73" s="811"/>
      <c r="F73" s="818"/>
      <c r="G73" s="513" t="str">
        <f>[3]予定価格算出資料!G70</f>
        <v>その他季</v>
      </c>
      <c r="H73" s="523">
        <v>0</v>
      </c>
      <c r="I73" s="528"/>
      <c r="J73" s="23">
        <f t="shared" si="0"/>
        <v>0</v>
      </c>
      <c r="K73" s="815"/>
      <c r="M73" s="881"/>
      <c r="N73" s="882"/>
    </row>
    <row r="74" spans="1:18" ht="26.25" customHeight="1" x14ac:dyDescent="0.15">
      <c r="A74" s="830">
        <v>29</v>
      </c>
      <c r="B74" s="893" t="str">
        <f>[3]予定価格算出資料!B71</f>
        <v>小郡運動公園</v>
      </c>
      <c r="C74" s="840">
        <v>297</v>
      </c>
      <c r="D74" s="808"/>
      <c r="E74" s="810">
        <v>100</v>
      </c>
      <c r="F74" s="890">
        <f>12*ROUNDDOWN(C74*D74*((185-E74)/100),2)</f>
        <v>0</v>
      </c>
      <c r="G74" s="517" t="s">
        <v>187</v>
      </c>
      <c r="H74" s="520">
        <v>43391</v>
      </c>
      <c r="I74" s="531"/>
      <c r="J74" s="25">
        <f t="shared" si="0"/>
        <v>0</v>
      </c>
      <c r="K74" s="814">
        <f>ROUNDDOWN(F74+J74+J75+J76+J77,2)</f>
        <v>0</v>
      </c>
      <c r="M74" s="881">
        <f>H74+H75+H76+H77</f>
        <v>231329</v>
      </c>
      <c r="N74" s="882"/>
      <c r="O74" s="43"/>
      <c r="P74" s="43"/>
      <c r="Q74" s="33"/>
    </row>
    <row r="75" spans="1:18" ht="26.25" customHeight="1" x14ac:dyDescent="0.15">
      <c r="A75" s="836"/>
      <c r="B75" s="897"/>
      <c r="C75" s="841"/>
      <c r="D75" s="843"/>
      <c r="E75" s="820"/>
      <c r="F75" s="817"/>
      <c r="G75" s="518" t="s">
        <v>188</v>
      </c>
      <c r="H75" s="521">
        <v>23464</v>
      </c>
      <c r="I75" s="532"/>
      <c r="J75" s="70">
        <f t="shared" si="0"/>
        <v>0</v>
      </c>
      <c r="K75" s="819"/>
      <c r="N75" s="43"/>
      <c r="O75" s="43"/>
      <c r="P75" s="43"/>
      <c r="Q75" s="33"/>
    </row>
    <row r="76" spans="1:18" ht="26.25" customHeight="1" x14ac:dyDescent="0.15">
      <c r="A76" s="836"/>
      <c r="B76" s="897" t="e">
        <f>[3]予定価格算出資料!B73</f>
        <v>#REF!</v>
      </c>
      <c r="C76" s="841"/>
      <c r="D76" s="843"/>
      <c r="E76" s="832"/>
      <c r="F76" s="901"/>
      <c r="G76" s="518" t="s">
        <v>189</v>
      </c>
      <c r="H76" s="521">
        <v>107329</v>
      </c>
      <c r="I76" s="532"/>
      <c r="J76" s="70">
        <f t="shared" si="0"/>
        <v>0</v>
      </c>
      <c r="K76" s="834"/>
      <c r="M76" s="43"/>
      <c r="N76" s="43"/>
      <c r="O76" s="43"/>
      <c r="P76" s="43"/>
      <c r="Q76" s="33"/>
    </row>
    <row r="77" spans="1:18" ht="26.25" customHeight="1" thickBot="1" x14ac:dyDescent="0.2">
      <c r="A77" s="896"/>
      <c r="B77" s="898"/>
      <c r="C77" s="899"/>
      <c r="D77" s="900"/>
      <c r="E77" s="833"/>
      <c r="F77" s="902"/>
      <c r="G77" s="519" t="s">
        <v>190</v>
      </c>
      <c r="H77" s="537">
        <v>57145</v>
      </c>
      <c r="I77" s="528"/>
      <c r="J77" s="23">
        <f t="shared" si="0"/>
        <v>0</v>
      </c>
      <c r="K77" s="835"/>
      <c r="M77" s="43"/>
      <c r="N77" s="43"/>
      <c r="O77" s="43"/>
      <c r="P77" s="43"/>
      <c r="Q77" s="33"/>
    </row>
    <row r="78" spans="1:18" s="16" customFormat="1" ht="27" customHeight="1" thickBot="1" x14ac:dyDescent="0.2">
      <c r="A78" s="828" t="s">
        <v>68</v>
      </c>
      <c r="B78" s="829"/>
      <c r="C78" s="48">
        <f>SUM(C10:C77)</f>
        <v>4320</v>
      </c>
      <c r="D78" s="49"/>
      <c r="E78" s="50"/>
      <c r="F78" s="51">
        <f>SUM(F10:F77)</f>
        <v>0</v>
      </c>
      <c r="G78" s="52"/>
      <c r="H78" s="53">
        <f>SUM(H10:H77)</f>
        <v>5192516</v>
      </c>
      <c r="I78" s="54"/>
      <c r="J78" s="55">
        <f>SUM(J10:J77)</f>
        <v>0</v>
      </c>
      <c r="K78" s="56">
        <f>SUM(K10:K77)</f>
        <v>0</v>
      </c>
      <c r="L78" s="16" t="s">
        <v>181</v>
      </c>
      <c r="M78" s="328"/>
      <c r="O78" s="44"/>
      <c r="P78" s="44"/>
      <c r="Q78" s="34"/>
      <c r="R78" s="14"/>
    </row>
    <row r="79" spans="1:18" ht="27" customHeight="1" thickBot="1" x14ac:dyDescent="0.2">
      <c r="C79" s="8"/>
      <c r="D79" s="15"/>
      <c r="E79" s="8"/>
      <c r="F79" s="15"/>
      <c r="G79" s="8"/>
      <c r="H79" s="15"/>
      <c r="I79" s="15"/>
      <c r="J79" s="15"/>
      <c r="K79" s="15"/>
      <c r="M79" s="43"/>
      <c r="N79" s="43"/>
      <c r="O79" s="43"/>
      <c r="P79" s="43"/>
    </row>
    <row r="80" spans="1:18" ht="27" customHeight="1" thickBot="1" x14ac:dyDescent="0.2">
      <c r="B80" s="895" t="s">
        <v>192</v>
      </c>
      <c r="C80" s="895"/>
      <c r="D80" s="895"/>
      <c r="E80" s="895"/>
      <c r="F80" s="895"/>
      <c r="G80" s="895"/>
      <c r="I80" s="515" t="s">
        <v>182</v>
      </c>
      <c r="J80" s="16" t="s">
        <v>42</v>
      </c>
      <c r="K80" s="35">
        <f>ROUNDDOWN(K78,0)</f>
        <v>0</v>
      </c>
      <c r="L80" s="14" t="s">
        <v>183</v>
      </c>
      <c r="M80" s="827"/>
      <c r="N80" s="827"/>
      <c r="O80" s="43"/>
      <c r="P80" s="43"/>
      <c r="Q80" s="36"/>
    </row>
    <row r="81" spans="2:18" ht="27" customHeight="1" thickBot="1" x14ac:dyDescent="0.2">
      <c r="B81" s="895"/>
      <c r="C81" s="895"/>
      <c r="D81" s="895"/>
      <c r="E81" s="895"/>
      <c r="F81" s="895"/>
      <c r="G81" s="895"/>
      <c r="K81" s="37"/>
      <c r="M81" s="43"/>
      <c r="N81" s="43"/>
      <c r="O81" s="43"/>
      <c r="P81" s="43"/>
    </row>
    <row r="82" spans="2:18" ht="27" customHeight="1" thickBot="1" x14ac:dyDescent="0.2">
      <c r="B82" s="895"/>
      <c r="C82" s="895"/>
      <c r="D82" s="895"/>
      <c r="E82" s="895"/>
      <c r="F82" s="895"/>
      <c r="G82" s="895"/>
      <c r="H82" s="20" t="s">
        <v>178</v>
      </c>
      <c r="I82" s="515" t="s">
        <v>43</v>
      </c>
      <c r="J82" s="536" t="s">
        <v>185</v>
      </c>
      <c r="K82" s="38">
        <f>ROUNDUP(K80*100/110,0)</f>
        <v>0</v>
      </c>
      <c r="L82" s="14" t="s">
        <v>184</v>
      </c>
      <c r="M82" s="43"/>
      <c r="N82" s="43"/>
      <c r="O82" s="43"/>
      <c r="P82" s="43"/>
      <c r="Q82" s="826"/>
      <c r="R82" s="826"/>
    </row>
    <row r="83" spans="2:18" ht="27" customHeight="1" x14ac:dyDescent="0.15">
      <c r="B83" s="895"/>
      <c r="C83" s="895"/>
      <c r="D83" s="895"/>
      <c r="E83" s="895"/>
      <c r="F83" s="895"/>
      <c r="G83" s="895"/>
      <c r="H83" s="16"/>
      <c r="K83" s="16" t="s">
        <v>179</v>
      </c>
      <c r="M83" s="43"/>
      <c r="N83" s="43"/>
      <c r="O83" s="43"/>
      <c r="P83" s="43"/>
    </row>
    <row r="84" spans="2:18" ht="67.5" customHeight="1" x14ac:dyDescent="0.15">
      <c r="B84" s="895"/>
      <c r="C84" s="895"/>
      <c r="D84" s="895"/>
      <c r="E84" s="895"/>
      <c r="F84" s="895"/>
      <c r="G84" s="895"/>
    </row>
  </sheetData>
  <mergeCells count="305">
    <mergeCell ref="M65:N65"/>
    <mergeCell ref="M66:N66"/>
    <mergeCell ref="M67:N67"/>
    <mergeCell ref="M68:N68"/>
    <mergeCell ref="M69:N69"/>
    <mergeCell ref="M70:N70"/>
    <mergeCell ref="M71:N71"/>
    <mergeCell ref="M72:N72"/>
    <mergeCell ref="M73:N73"/>
    <mergeCell ref="M56:N56"/>
    <mergeCell ref="M57:N57"/>
    <mergeCell ref="M58:N58"/>
    <mergeCell ref="M59:N59"/>
    <mergeCell ref="M60:N60"/>
    <mergeCell ref="M61:N61"/>
    <mergeCell ref="M62:N62"/>
    <mergeCell ref="M63:N63"/>
    <mergeCell ref="M64:N64"/>
    <mergeCell ref="M47:N47"/>
    <mergeCell ref="M48:N48"/>
    <mergeCell ref="M49:N49"/>
    <mergeCell ref="M50:N50"/>
    <mergeCell ref="M51:N51"/>
    <mergeCell ref="M52:N52"/>
    <mergeCell ref="M53:N53"/>
    <mergeCell ref="M54:N54"/>
    <mergeCell ref="M55:N55"/>
    <mergeCell ref="M38:N38"/>
    <mergeCell ref="M39:N39"/>
    <mergeCell ref="M40:N40"/>
    <mergeCell ref="M41:N41"/>
    <mergeCell ref="M42:N42"/>
    <mergeCell ref="M43:N43"/>
    <mergeCell ref="M44:N44"/>
    <mergeCell ref="M45:N45"/>
    <mergeCell ref="M46:N46"/>
    <mergeCell ref="M29:N29"/>
    <mergeCell ref="M30:N30"/>
    <mergeCell ref="M31:N31"/>
    <mergeCell ref="M32:N32"/>
    <mergeCell ref="M33:N33"/>
    <mergeCell ref="M34:N34"/>
    <mergeCell ref="M35:N35"/>
    <mergeCell ref="M36:N36"/>
    <mergeCell ref="M37:N37"/>
    <mergeCell ref="M20:N20"/>
    <mergeCell ref="M21:N21"/>
    <mergeCell ref="M22:N22"/>
    <mergeCell ref="M23:N23"/>
    <mergeCell ref="M24:N24"/>
    <mergeCell ref="M25:N25"/>
    <mergeCell ref="M26:N26"/>
    <mergeCell ref="M27:N27"/>
    <mergeCell ref="M28:N28"/>
    <mergeCell ref="M11:N11"/>
    <mergeCell ref="M12:N12"/>
    <mergeCell ref="M13:N13"/>
    <mergeCell ref="M14:N14"/>
    <mergeCell ref="M15:N15"/>
    <mergeCell ref="M16:N16"/>
    <mergeCell ref="M17:N17"/>
    <mergeCell ref="M18:N18"/>
    <mergeCell ref="M19:N19"/>
    <mergeCell ref="A78:B78"/>
    <mergeCell ref="B80:G84"/>
    <mergeCell ref="M80:N80"/>
    <mergeCell ref="Q82:R82"/>
    <mergeCell ref="K72:K73"/>
    <mergeCell ref="A74:A77"/>
    <mergeCell ref="B74:B77"/>
    <mergeCell ref="C74:C77"/>
    <mergeCell ref="D74:D77"/>
    <mergeCell ref="E74:E77"/>
    <mergeCell ref="F74:F77"/>
    <mergeCell ref="K74:K77"/>
    <mergeCell ref="A72:A73"/>
    <mergeCell ref="B72:B73"/>
    <mergeCell ref="C72:C73"/>
    <mergeCell ref="D72:D73"/>
    <mergeCell ref="E72:E73"/>
    <mergeCell ref="F72:F73"/>
    <mergeCell ref="M74:N74"/>
    <mergeCell ref="K68:K69"/>
    <mergeCell ref="A70:A71"/>
    <mergeCell ref="B70:B71"/>
    <mergeCell ref="C70:C71"/>
    <mergeCell ref="D70:D71"/>
    <mergeCell ref="E70:E71"/>
    <mergeCell ref="F70:F71"/>
    <mergeCell ref="K70:K71"/>
    <mergeCell ref="A68:A69"/>
    <mergeCell ref="B68:B69"/>
    <mergeCell ref="C68:C69"/>
    <mergeCell ref="D68:D69"/>
    <mergeCell ref="E68:E69"/>
    <mergeCell ref="F68:F69"/>
    <mergeCell ref="K64:K65"/>
    <mergeCell ref="A66:A67"/>
    <mergeCell ref="B66:B67"/>
    <mergeCell ref="C66:C67"/>
    <mergeCell ref="D66:D67"/>
    <mergeCell ref="E66:E67"/>
    <mergeCell ref="F66:F67"/>
    <mergeCell ref="K66:K67"/>
    <mergeCell ref="A64:A65"/>
    <mergeCell ref="B64:B65"/>
    <mergeCell ref="C64:C65"/>
    <mergeCell ref="D64:D65"/>
    <mergeCell ref="E64:E65"/>
    <mergeCell ref="F64:F65"/>
    <mergeCell ref="K60:K61"/>
    <mergeCell ref="A62:A63"/>
    <mergeCell ref="B62:B63"/>
    <mergeCell ref="C62:C63"/>
    <mergeCell ref="D62:D63"/>
    <mergeCell ref="E62:E63"/>
    <mergeCell ref="F62:F63"/>
    <mergeCell ref="K62:K63"/>
    <mergeCell ref="A60:A61"/>
    <mergeCell ref="B60:B61"/>
    <mergeCell ref="C60:C61"/>
    <mergeCell ref="D60:D61"/>
    <mergeCell ref="E60:E61"/>
    <mergeCell ref="F60:F61"/>
    <mergeCell ref="K56:K57"/>
    <mergeCell ref="A58:A59"/>
    <mergeCell ref="B58:B59"/>
    <mergeCell ref="C58:C59"/>
    <mergeCell ref="D58:D59"/>
    <mergeCell ref="E58:E59"/>
    <mergeCell ref="F58:F59"/>
    <mergeCell ref="K58:K59"/>
    <mergeCell ref="A56:A57"/>
    <mergeCell ref="B56:B57"/>
    <mergeCell ref="C56:C57"/>
    <mergeCell ref="D56:D57"/>
    <mergeCell ref="E56:E57"/>
    <mergeCell ref="F56:F57"/>
    <mergeCell ref="K50:K53"/>
    <mergeCell ref="A54:A55"/>
    <mergeCell ref="B54:B55"/>
    <mergeCell ref="C54:C55"/>
    <mergeCell ref="D54:D55"/>
    <mergeCell ref="E54:E55"/>
    <mergeCell ref="F54:F55"/>
    <mergeCell ref="K54:K55"/>
    <mergeCell ref="A50:A53"/>
    <mergeCell ref="B50:B53"/>
    <mergeCell ref="C50:C53"/>
    <mergeCell ref="D50:D53"/>
    <mergeCell ref="E50:E53"/>
    <mergeCell ref="F50:F53"/>
    <mergeCell ref="K44:K45"/>
    <mergeCell ref="A46:A49"/>
    <mergeCell ref="B46:B49"/>
    <mergeCell ref="C46:C49"/>
    <mergeCell ref="D46:D49"/>
    <mergeCell ref="E46:E49"/>
    <mergeCell ref="F46:F49"/>
    <mergeCell ref="K46:K49"/>
    <mergeCell ref="A44:A45"/>
    <mergeCell ref="B44:B45"/>
    <mergeCell ref="C44:C45"/>
    <mergeCell ref="D44:D45"/>
    <mergeCell ref="E44:E45"/>
    <mergeCell ref="F44:F45"/>
    <mergeCell ref="K40:K41"/>
    <mergeCell ref="A42:A43"/>
    <mergeCell ref="B42:B43"/>
    <mergeCell ref="C42:C43"/>
    <mergeCell ref="D42:D43"/>
    <mergeCell ref="E42:E43"/>
    <mergeCell ref="F42:F43"/>
    <mergeCell ref="K42:K43"/>
    <mergeCell ref="A40:A41"/>
    <mergeCell ref="B40:B41"/>
    <mergeCell ref="C40:C41"/>
    <mergeCell ref="D40:D41"/>
    <mergeCell ref="E40:E41"/>
    <mergeCell ref="F40:F41"/>
    <mergeCell ref="K36:K37"/>
    <mergeCell ref="A38:A39"/>
    <mergeCell ref="B38:B39"/>
    <mergeCell ref="C38:C39"/>
    <mergeCell ref="D38:D39"/>
    <mergeCell ref="E38:E39"/>
    <mergeCell ref="F38:F39"/>
    <mergeCell ref="K38:K39"/>
    <mergeCell ref="A36:A37"/>
    <mergeCell ref="B36:B37"/>
    <mergeCell ref="C36:C37"/>
    <mergeCell ref="D36:D37"/>
    <mergeCell ref="E36:E37"/>
    <mergeCell ref="F36:F37"/>
    <mergeCell ref="K30:K31"/>
    <mergeCell ref="A32:A33"/>
    <mergeCell ref="B32:B33"/>
    <mergeCell ref="C32:C33"/>
    <mergeCell ref="D32:D33"/>
    <mergeCell ref="E32:E33"/>
    <mergeCell ref="F32:F33"/>
    <mergeCell ref="K32:K33"/>
    <mergeCell ref="A30:A31"/>
    <mergeCell ref="B30:B31"/>
    <mergeCell ref="C30:C31"/>
    <mergeCell ref="D30:D31"/>
    <mergeCell ref="E30:E31"/>
    <mergeCell ref="F30:F31"/>
    <mergeCell ref="K26:K27"/>
    <mergeCell ref="A28:A29"/>
    <mergeCell ref="B28:B29"/>
    <mergeCell ref="C28:C29"/>
    <mergeCell ref="D28:D29"/>
    <mergeCell ref="E28:E29"/>
    <mergeCell ref="F28:F29"/>
    <mergeCell ref="K28:K29"/>
    <mergeCell ref="A26:A27"/>
    <mergeCell ref="B26:B27"/>
    <mergeCell ref="C26:C27"/>
    <mergeCell ref="D26:D27"/>
    <mergeCell ref="E26:E27"/>
    <mergeCell ref="F26:F27"/>
    <mergeCell ref="K22:K23"/>
    <mergeCell ref="A24:A25"/>
    <mergeCell ref="B24:B25"/>
    <mergeCell ref="C24:C25"/>
    <mergeCell ref="D24:D25"/>
    <mergeCell ref="E24:E25"/>
    <mergeCell ref="F24:F25"/>
    <mergeCell ref="K24:K25"/>
    <mergeCell ref="A22:A23"/>
    <mergeCell ref="B22:B23"/>
    <mergeCell ref="C22:C23"/>
    <mergeCell ref="D22:D23"/>
    <mergeCell ref="E22:E23"/>
    <mergeCell ref="F22:F23"/>
    <mergeCell ref="K18:K19"/>
    <mergeCell ref="A20:A21"/>
    <mergeCell ref="B20:B21"/>
    <mergeCell ref="C20:C21"/>
    <mergeCell ref="D20:D21"/>
    <mergeCell ref="E20:E21"/>
    <mergeCell ref="F20:F21"/>
    <mergeCell ref="K20:K21"/>
    <mergeCell ref="A18:A19"/>
    <mergeCell ref="B18:B19"/>
    <mergeCell ref="C18:C19"/>
    <mergeCell ref="D18:D19"/>
    <mergeCell ref="E18:E19"/>
    <mergeCell ref="F18:F19"/>
    <mergeCell ref="K14:K15"/>
    <mergeCell ref="A16:A17"/>
    <mergeCell ref="B16:B17"/>
    <mergeCell ref="C16:C17"/>
    <mergeCell ref="D16:D17"/>
    <mergeCell ref="E16:E17"/>
    <mergeCell ref="F16:F17"/>
    <mergeCell ref="K16:K17"/>
    <mergeCell ref="A14:A15"/>
    <mergeCell ref="B14:B15"/>
    <mergeCell ref="C14:C15"/>
    <mergeCell ref="D14:D15"/>
    <mergeCell ref="E14:E15"/>
    <mergeCell ref="F14:F15"/>
    <mergeCell ref="F12:F13"/>
    <mergeCell ref="K12:K13"/>
    <mergeCell ref="J6:J7"/>
    <mergeCell ref="G8:H8"/>
    <mergeCell ref="G9:H9"/>
    <mergeCell ref="A10:A11"/>
    <mergeCell ref="B10:B11"/>
    <mergeCell ref="C10:C11"/>
    <mergeCell ref="D10:D11"/>
    <mergeCell ref="E10:E11"/>
    <mergeCell ref="F10:F11"/>
    <mergeCell ref="C6:C7"/>
    <mergeCell ref="D6:D7"/>
    <mergeCell ref="E6:E7"/>
    <mergeCell ref="F6:F7"/>
    <mergeCell ref="G6:H7"/>
    <mergeCell ref="I6:I7"/>
    <mergeCell ref="A34:A35"/>
    <mergeCell ref="B34:B35"/>
    <mergeCell ref="C34:C35"/>
    <mergeCell ref="D34:D35"/>
    <mergeCell ref="E34:E35"/>
    <mergeCell ref="F34:F35"/>
    <mergeCell ref="K34:K35"/>
    <mergeCell ref="M10:N10"/>
    <mergeCell ref="A1:F1"/>
    <mergeCell ref="H1:L4"/>
    <mergeCell ref="A2:F2"/>
    <mergeCell ref="A3:F3"/>
    <mergeCell ref="A4:F4"/>
    <mergeCell ref="A5:A9"/>
    <mergeCell ref="B5:B9"/>
    <mergeCell ref="C5:F5"/>
    <mergeCell ref="G5:J5"/>
    <mergeCell ref="K5:K7"/>
    <mergeCell ref="K10:K11"/>
    <mergeCell ref="A12:A13"/>
    <mergeCell ref="B12:B13"/>
    <mergeCell ref="C12:C13"/>
    <mergeCell ref="D12:D13"/>
    <mergeCell ref="E12:E13"/>
  </mergeCells>
  <phoneticPr fontId="20"/>
  <printOptions horizontalCentered="1"/>
  <pageMargins left="0.78740157480314965" right="0.78740157480314965" top="1.1811023622047245" bottom="0" header="0.19685039370078741" footer="0.19685039370078741"/>
  <pageSetup paperSize="8" scale="5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(九電)予定金額 (最終)</vt:lpstr>
      <vt:lpstr>別紙6-2</vt:lpstr>
      <vt:lpstr>別紙4-1</vt:lpstr>
      <vt:lpstr>'(九電)予定金額 (最終)'!Print_Area</vt:lpstr>
      <vt:lpstr>'別紙4-1'!Print_Area</vt:lpstr>
      <vt:lpstr>'別紙6-2'!Print_Area</vt:lpstr>
      <vt:lpstr>'(九電)予定金額 (最終)'!Print_Titles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C10012</dc:creator>
  <cp:lastModifiedBy> </cp:lastModifiedBy>
  <cp:lastPrinted>2025-10-30T07:30:48Z</cp:lastPrinted>
  <dcterms:created xsi:type="dcterms:W3CDTF">2015-07-10T10:28:27Z</dcterms:created>
  <dcterms:modified xsi:type="dcterms:W3CDTF">2025-11-10T00:33:43Z</dcterms:modified>
</cp:coreProperties>
</file>